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5360" windowHeight="9030" tabRatio="895" activeTab="0"/>
  </bookViews>
  <sheets>
    <sheet name="Contents" sheetId="1" r:id="rId1"/>
    <sheet name="Help" sheetId="2" r:id="rId2"/>
    <sheet name="Gliders" sheetId="3" r:id="rId3"/>
    <sheet name="PolarCalcs" sheetId="4" r:id="rId4"/>
    <sheet name="PolarChart" sheetId="5" r:id="rId5"/>
    <sheet name="CruiseCalcs" sheetId="6" r:id="rId6"/>
    <sheet name="FinalGlide" sheetId="7" r:id="rId7"/>
    <sheet name="SpeedtoFly" sheetId="8" r:id="rId8"/>
    <sheet name="CruiseChart" sheetId="9" r:id="rId9"/>
    <sheet name="LD Chart" sheetId="10" r:id="rId10"/>
    <sheet name="BestSpeed" sheetId="11" r:id="rId11"/>
    <sheet name="Standards" sheetId="12" r:id="rId12"/>
  </sheets>
  <definedNames>
    <definedName name="_xlnm.Print_Area" localSheetId="2">'Gliders'!$A$1:$AM$117</definedName>
    <definedName name="DATABASE">'Gliders'!$A$1:$AM$116</definedName>
    <definedName name="Calculated_data">'PolarCalcs'!$I$9:$I$37</definedName>
    <definedName name="cm_m">'Standards'!$I$4</definedName>
    <definedName name="DataSheets">'Contents'!$R$2:$R$7</definedName>
    <definedName name="fph_knot">'Standards'!$I$9</definedName>
    <definedName name="fpm_knot">'Standards'!$D$12</definedName>
    <definedName name="ft_km">'Standards'!$D$21</definedName>
    <definedName name="ft_knot">'Standards'!$I$9</definedName>
    <definedName name="ft_m">'Standards'!$D$6</definedName>
    <definedName name="ft_mile">'Standards'!$D$23</definedName>
    <definedName name="gliders">'Gliders'!$A$2:$A$117</definedName>
    <definedName name="hfpm_knot">'Standards'!$D$13</definedName>
    <definedName name="hour_sec">'Standards'!$I$12</definedName>
    <definedName name="in_ft">'Standards'!$I$7</definedName>
    <definedName name="in_m">'Standards'!$D$5</definedName>
    <definedName name="ka">'PolarCalcs'!$C$8</definedName>
    <definedName name="kb">'PolarCalcs'!$C$9</definedName>
    <definedName name="kc">'PolarCalcs'!$C$10</definedName>
    <definedName name="kCl">'SpeedtoFly'!$A$8:$A$28</definedName>
    <definedName name="kk">'PolarCalcs'!$C$5</definedName>
    <definedName name="km">'PolarCalcs'!$C$13</definedName>
    <definedName name="km_m">'Standards'!$I$3</definedName>
    <definedName name="knot_fph">'Standards'!$I$9</definedName>
    <definedName name="knot_fpm">'Standards'!$D$18</definedName>
    <definedName name="knot_hfpm">'Standards'!$D$19</definedName>
    <definedName name="knot_kph">'Standards'!$D$16</definedName>
    <definedName name="knot_mps">'Standards'!$D$17</definedName>
    <definedName name="knot_smph">'Standards'!$D$14</definedName>
    <definedName name="kph_knot">'Standards'!$D$10</definedName>
    <definedName name="ksink1">'PolarCalcs'!$D$27</definedName>
    <definedName name="ksink2">'PolarCalcs'!$D$28</definedName>
    <definedName name="ksink3">'PolarCalcs'!$D$29</definedName>
    <definedName name="kV">'PolarCalcs'!$F$9:$F$37</definedName>
    <definedName name="kvel1">'PolarCalcs'!$C$27</definedName>
    <definedName name="kvel2">'PolarCalcs'!$C$28</definedName>
    <definedName name="kvel3">'PolarCalcs'!$C$29</definedName>
    <definedName name="kWm">'SpeedtoFly'!$B$5</definedName>
    <definedName name="m_ft">'Standards'!$D$7</definedName>
    <definedName name="min_hr">'Standards'!$I$11</definedName>
    <definedName name="mm_m">'Standards'!$I$5</definedName>
    <definedName name="mps_knot">'Standards'!$D$11</definedName>
    <definedName name="Performance_Table">#REF!</definedName>
    <definedName name="Plotted_data">'PolarCalcs'!$K$6:$K$37</definedName>
    <definedName name="sec_hr">'Standards'!$I$12</definedName>
    <definedName name="Selected_data">'PolarCalcs'!$G$9:$G$37</definedName>
    <definedName name="solver_adj" localSheetId="7" hidden="1">'SpeedtoFly'!#REF!</definedName>
    <definedName name="solver_lhs1" localSheetId="7" hidden="1">'SpeedtoFly'!$D$5:$D$5</definedName>
    <definedName name="solver_lin" localSheetId="7" hidden="1">0</definedName>
    <definedName name="solver_num" localSheetId="7" hidden="1">1</definedName>
    <definedName name="solver_opt" localSheetId="7" hidden="1">'SpeedtoFly'!#REF!</definedName>
    <definedName name="solver_rel1" localSheetId="7" hidden="1">1</definedName>
    <definedName name="solver_rhs1" localSheetId="7" hidden="1">'SpeedtoFly'!#REF!</definedName>
    <definedName name="solver_typ" localSheetId="7" hidden="1">1</definedName>
    <definedName name="solver_val" localSheetId="7" hidden="1">0</definedName>
    <definedName name="Speed_points">'PolarCalcs'!$B$27:$B$29</definedName>
    <definedName name="SpeedstoCalc">'PolarCalcs'!$C$27:$C$29</definedName>
    <definedName name="SpeedTable">'BestSpeed'!$H$3:$I$15</definedName>
    <definedName name="_xlnm.Print_Titles" localSheetId="2">'Gliders'!$1:$1</definedName>
    <definedName name="UnitList">'Standards'!$L$3:$L$8</definedName>
    <definedName name="UnitTable">'Standards'!$L$3:$M$8</definedName>
    <definedName name="Vmin">'PolarCalcs'!$C$21</definedName>
    <definedName name="VminSink">'PolarCalcs'!$C$17</definedName>
    <definedName name="Vstf">'PolarCalcs'!$C$16</definedName>
  </definedNames>
  <calcPr fullCalcOnLoad="1"/>
</workbook>
</file>

<file path=xl/sharedStrings.xml><?xml version="1.0" encoding="utf-8"?>
<sst xmlns="http://schemas.openxmlformats.org/spreadsheetml/2006/main" count="751" uniqueCount="395">
  <si>
    <t>Glider polar diagrams and performance calculations</t>
  </si>
  <si>
    <t>Author</t>
  </si>
  <si>
    <t>Jim Rennie</t>
  </si>
  <si>
    <t>Glider 1</t>
  </si>
  <si>
    <t>Club</t>
  </si>
  <si>
    <t>Central Coast Soaring Club</t>
  </si>
  <si>
    <t>Glider 2</t>
  </si>
  <si>
    <t>Phone</t>
  </si>
  <si>
    <t>612 9876 8176</t>
  </si>
  <si>
    <t>Type  [Source]  (Wing loading)</t>
  </si>
  <si>
    <t>Fax</t>
  </si>
  <si>
    <t>612 9869 7382</t>
  </si>
  <si>
    <t>Sources</t>
  </si>
  <si>
    <t>Reichmann's Cross Country Soaring</t>
  </si>
  <si>
    <t xml:space="preserve">NB - The glider selectors shown will change the </t>
  </si>
  <si>
    <t>American Soaring Society Handbook - Book 6</t>
  </si>
  <si>
    <t>selected performance figures for all charts</t>
  </si>
  <si>
    <t>Any selector can be used and all charts will</t>
  </si>
  <si>
    <t>Contents</t>
  </si>
  <si>
    <t>Name</t>
  </si>
  <si>
    <t>Function</t>
  </si>
  <si>
    <t>recalculate based on selected glider 1</t>
  </si>
  <si>
    <t xml:space="preserve">Contents </t>
  </si>
  <si>
    <t>Help</t>
  </si>
  <si>
    <t>Help on using the models</t>
  </si>
  <si>
    <t>Gliders</t>
  </si>
  <si>
    <t xml:space="preserve">Entry screen for measured performance data. </t>
  </si>
  <si>
    <t>PolarCalcs</t>
  </si>
  <si>
    <t>Polar diagram calculations.  Diagram and calculations are based on the selected glider 1</t>
  </si>
  <si>
    <t>PolarChart</t>
  </si>
  <si>
    <t>Polar diagram for selected glider 1, based on Sheet 4. Glider 2 is for comparison</t>
  </si>
  <si>
    <t>FinalGlide</t>
  </si>
  <si>
    <t>Final glide calculations based on source 1 for the selected glider 1</t>
  </si>
  <si>
    <t>SpeedtoFly</t>
  </si>
  <si>
    <t>Speed to fly calculations based on source 1 for the selected glider 1</t>
  </si>
  <si>
    <t>CruiseCalcs</t>
  </si>
  <si>
    <t>Cruise Calculations based on McCready system article from source 2</t>
  </si>
  <si>
    <t>CruiseChart</t>
  </si>
  <si>
    <t>Crusing speed chart based on 8</t>
  </si>
  <si>
    <t>LD Chart</t>
  </si>
  <si>
    <t>L/D chart based on 8</t>
  </si>
  <si>
    <t>BestSpeed</t>
  </si>
  <si>
    <t>Best Speed to fly between thermals - illustrates the time spent cruising and climbing</t>
  </si>
  <si>
    <t>Standards</t>
  </si>
  <si>
    <t>Standards used for measurements</t>
  </si>
  <si>
    <t>All displayed data shows speed, both vertical and horizontal in knots, unless otherwise specified.</t>
  </si>
  <si>
    <t>To change a glider data set</t>
  </si>
  <si>
    <t>Select the sheet called Gliders</t>
  </si>
  <si>
    <t>Find the glider in column B</t>
  </si>
  <si>
    <t>Enter the changes in wing loading, sinkrate etc</t>
  </si>
  <si>
    <t>In column F enter the unit in which the data is measured (knots, mps,fpm)</t>
  </si>
  <si>
    <t>To enter a new glider data set</t>
  </si>
  <si>
    <t>as above</t>
  </si>
  <si>
    <t>Insert a new row somewhere inside the data table, do not add data to the bottom row</t>
  </si>
  <si>
    <t>Mark</t>
  </si>
  <si>
    <t>A/c</t>
  </si>
  <si>
    <t>Rego</t>
  </si>
  <si>
    <t>Source</t>
  </si>
  <si>
    <t>G/F</t>
  </si>
  <si>
    <t>units</t>
  </si>
  <si>
    <t>Composite a/c name - formula should be ** =B2&amp;"  ["&amp;D2&amp;"] ("&amp;E2&amp;")" **</t>
  </si>
  <si>
    <t>name of a/c</t>
  </si>
  <si>
    <t>registration number if known</t>
  </si>
  <si>
    <t xml:space="preserve">Source of data </t>
  </si>
  <si>
    <t>wing loading in kg/m2</t>
  </si>
  <si>
    <t>units in which sink rate is measured - see Standards sheetfor list</t>
  </si>
  <si>
    <t>MD - Manufacturers data</t>
  </si>
  <si>
    <t>sink rate at speed 0 kph</t>
  </si>
  <si>
    <t>IDA - IdaFlieg test data</t>
  </si>
  <si>
    <t>sink rate at speed 20 kph</t>
  </si>
  <si>
    <t>AG - data published in AG</t>
  </si>
  <si>
    <t>D - 4044 - A/c call sign</t>
  </si>
  <si>
    <t>ASH 25e</t>
  </si>
  <si>
    <t>DJ</t>
  </si>
  <si>
    <t>mps</t>
  </si>
  <si>
    <t>ASK 23</t>
  </si>
  <si>
    <t>D-2023</t>
  </si>
  <si>
    <t>IDA</t>
  </si>
  <si>
    <t>Astir CS</t>
  </si>
  <si>
    <t>knots</t>
  </si>
  <si>
    <t>MD</t>
  </si>
  <si>
    <t>Astir CS G-102</t>
  </si>
  <si>
    <t>D-7290</t>
  </si>
  <si>
    <t xml:space="preserve">Astir -Twin </t>
  </si>
  <si>
    <t>D-4857</t>
  </si>
  <si>
    <t>ASW 15</t>
  </si>
  <si>
    <t>D-0791</t>
  </si>
  <si>
    <t>ASW 17</t>
  </si>
  <si>
    <t>D-1110</t>
  </si>
  <si>
    <t>ASW 17 S/21</t>
  </si>
  <si>
    <t>D-2119</t>
  </si>
  <si>
    <t>ASW 19</t>
  </si>
  <si>
    <t>D-4525</t>
  </si>
  <si>
    <t>ASW 20</t>
  </si>
  <si>
    <t>D-7474</t>
  </si>
  <si>
    <t>D-7952</t>
  </si>
  <si>
    <t>ASW 20A</t>
  </si>
  <si>
    <t>OY-XCR</t>
  </si>
  <si>
    <t>ASW 20C</t>
  </si>
  <si>
    <t>D-2410</t>
  </si>
  <si>
    <t>ASW 20L</t>
  </si>
  <si>
    <t>D-6810</t>
  </si>
  <si>
    <t>ASW 22/24</t>
  </si>
  <si>
    <t>D-2270</t>
  </si>
  <si>
    <t>ASW 22M</t>
  </si>
  <si>
    <t>D-KBBY</t>
  </si>
  <si>
    <t>Berfalke lV</t>
  </si>
  <si>
    <t>D-1005</t>
  </si>
  <si>
    <t>Bergfalke ll</t>
  </si>
  <si>
    <t>D-1217</t>
  </si>
  <si>
    <t>Blanik L13</t>
  </si>
  <si>
    <t>GB</t>
  </si>
  <si>
    <t>Calif A21S</t>
  </si>
  <si>
    <t>D-2176</t>
  </si>
  <si>
    <t>Cirrus</t>
  </si>
  <si>
    <t>D-0471</t>
  </si>
  <si>
    <t>DG 100</t>
  </si>
  <si>
    <t>D-1076</t>
  </si>
  <si>
    <t>D-7099</t>
  </si>
  <si>
    <t>DG 100G</t>
  </si>
  <si>
    <t>D-6100</t>
  </si>
  <si>
    <t>DG 200</t>
  </si>
  <si>
    <t>D-6781</t>
  </si>
  <si>
    <t>DG 300</t>
  </si>
  <si>
    <t>D-1300</t>
  </si>
  <si>
    <t>DG 400/17</t>
  </si>
  <si>
    <t>D-KCHE</t>
  </si>
  <si>
    <t>Diamant 16.5</t>
  </si>
  <si>
    <t>HB-1994</t>
  </si>
  <si>
    <t>Discus A</t>
  </si>
  <si>
    <t>D-6111</t>
  </si>
  <si>
    <t>Discus A (H)</t>
  </si>
  <si>
    <t>Discus A (L)</t>
  </si>
  <si>
    <t>Discus B</t>
  </si>
  <si>
    <t>D-8111</t>
  </si>
  <si>
    <t>Elfe S-25</t>
  </si>
  <si>
    <t>D-8141</t>
  </si>
  <si>
    <t>Elfe S4D</t>
  </si>
  <si>
    <t>D-6668</t>
  </si>
  <si>
    <t>ES 60</t>
  </si>
  <si>
    <t>AG</t>
  </si>
  <si>
    <t>Falcon</t>
  </si>
  <si>
    <t>D-7775</t>
  </si>
  <si>
    <t>G-102 3B</t>
  </si>
  <si>
    <t>D-6950</t>
  </si>
  <si>
    <t>H.304/17</t>
  </si>
  <si>
    <t>D-6863</t>
  </si>
  <si>
    <t>H-304</t>
  </si>
  <si>
    <t>D-4186</t>
  </si>
  <si>
    <t>Hornet C</t>
  </si>
  <si>
    <t>D-7597</t>
  </si>
  <si>
    <t>Hornet H-206</t>
  </si>
  <si>
    <t>D-7816</t>
  </si>
  <si>
    <t>Jantar 2</t>
  </si>
  <si>
    <t>Jantar 2B</t>
  </si>
  <si>
    <t>D-3170</t>
  </si>
  <si>
    <t xml:space="preserve">Jantar Std </t>
  </si>
  <si>
    <t>SP-3170</t>
  </si>
  <si>
    <t>Jantar SZD.41A</t>
  </si>
  <si>
    <t>SE-701</t>
  </si>
  <si>
    <t>Janus</t>
  </si>
  <si>
    <t>D-3111</t>
  </si>
  <si>
    <t xml:space="preserve">Jeans Astir </t>
  </si>
  <si>
    <t>D-7642</t>
  </si>
  <si>
    <t>K 21</t>
  </si>
  <si>
    <t>K 23</t>
  </si>
  <si>
    <t>Ka 10</t>
  </si>
  <si>
    <t xml:space="preserve">Ka 6b R/S </t>
  </si>
  <si>
    <t>D-8390</t>
  </si>
  <si>
    <t>Ka 6cr</t>
  </si>
  <si>
    <t>D-4390</t>
  </si>
  <si>
    <t>Ka 7</t>
  </si>
  <si>
    <t>D-1800</t>
  </si>
  <si>
    <t>Ka 8</t>
  </si>
  <si>
    <t>D-1590</t>
  </si>
  <si>
    <t>Kestrel   H.401</t>
  </si>
  <si>
    <t>D-0475</t>
  </si>
  <si>
    <t>Kestrel 19 T.59D</t>
  </si>
  <si>
    <t>D-5999</t>
  </si>
  <si>
    <t>Kestrel 22 H.604</t>
  </si>
  <si>
    <t>D-8085</t>
  </si>
  <si>
    <t>Kestrel H.401</t>
  </si>
  <si>
    <t>D-0245</t>
  </si>
  <si>
    <t>Kestrel H-604/17</t>
  </si>
  <si>
    <t>Kranich lll</t>
  </si>
  <si>
    <t>D-1398</t>
  </si>
  <si>
    <t>L+A7S 3a</t>
  </si>
  <si>
    <t>D-3917</t>
  </si>
  <si>
    <t>1.*5</t>
  </si>
  <si>
    <t>2.*9</t>
  </si>
  <si>
    <t>Libelle 201</t>
  </si>
  <si>
    <t>Libelle H-301B</t>
  </si>
  <si>
    <t>D-412</t>
  </si>
  <si>
    <t>LS 1 C</t>
  </si>
  <si>
    <t>D-0558</t>
  </si>
  <si>
    <t>LS 1 f</t>
  </si>
  <si>
    <t>D-3252</t>
  </si>
  <si>
    <t>Ls 1f</t>
  </si>
  <si>
    <t>LS 3</t>
  </si>
  <si>
    <t>D-6654</t>
  </si>
  <si>
    <t>LS 4</t>
  </si>
  <si>
    <t>D-2628</t>
  </si>
  <si>
    <t>D-6680</t>
  </si>
  <si>
    <t>LS3/17</t>
  </si>
  <si>
    <t>D-6775</t>
  </si>
  <si>
    <t>L-Spatz 55</t>
  </si>
  <si>
    <t>M-100S</t>
  </si>
  <si>
    <t>Mini Nimbus</t>
  </si>
  <si>
    <t>D-4986</t>
  </si>
  <si>
    <t>Mistrel C</t>
  </si>
  <si>
    <t>D-4994</t>
  </si>
  <si>
    <t>Mosquito H-303</t>
  </si>
  <si>
    <t>D-1303</t>
  </si>
  <si>
    <t>Mosquito H-303B</t>
  </si>
  <si>
    <t>D-1436</t>
  </si>
  <si>
    <t>Nimbus 2</t>
  </si>
  <si>
    <t>D-0107</t>
  </si>
  <si>
    <t>D-2111</t>
  </si>
  <si>
    <t>Nimbus 3</t>
  </si>
  <si>
    <t>D-3531</t>
  </si>
  <si>
    <t>Nimbus 3/24.5</t>
  </si>
  <si>
    <t>D-5896</t>
  </si>
  <si>
    <t>Pegase 101A</t>
  </si>
  <si>
    <t>HB-1647</t>
  </si>
  <si>
    <t>Phoebus A</t>
  </si>
  <si>
    <t>Phoenix T FS-24</t>
  </si>
  <si>
    <t>D-8385</t>
  </si>
  <si>
    <t>Pik 20D</t>
  </si>
  <si>
    <t>D-5990</t>
  </si>
  <si>
    <t>PW5</t>
  </si>
  <si>
    <t>MD+</t>
  </si>
  <si>
    <t>Salto 15 H-101  ??</t>
  </si>
  <si>
    <t>D-2220</t>
  </si>
  <si>
    <t>Salto H-101</t>
  </si>
  <si>
    <t>D-2040</t>
  </si>
  <si>
    <t>SB-10</t>
  </si>
  <si>
    <t>D-6085</t>
  </si>
  <si>
    <t>SB-11</t>
  </si>
  <si>
    <t>D-1172</t>
  </si>
  <si>
    <t>SB-12</t>
  </si>
  <si>
    <t>D-1225</t>
  </si>
  <si>
    <t>SF 34</t>
  </si>
  <si>
    <t>D-1134</t>
  </si>
  <si>
    <t xml:space="preserve">Skylark 3F  F43   </t>
  </si>
  <si>
    <t>RAF-146</t>
  </si>
  <si>
    <t>Std Austria SH</t>
  </si>
  <si>
    <t>Std Cirrus</t>
  </si>
  <si>
    <t>D-3261</t>
  </si>
  <si>
    <t>Std Libelle H-201</t>
  </si>
  <si>
    <t>D-0697</t>
  </si>
  <si>
    <t>SZD51-1 - Junior</t>
  </si>
  <si>
    <t>SZD55</t>
  </si>
  <si>
    <t>Ventus A</t>
  </si>
  <si>
    <t>D-7072</t>
  </si>
  <si>
    <t>Ventus A/16.6</t>
  </si>
  <si>
    <t>D-5335</t>
  </si>
  <si>
    <t>Ventus B</t>
  </si>
  <si>
    <t>D-4060</t>
  </si>
  <si>
    <t>Zigrogel lV</t>
  </si>
  <si>
    <t>Astir Polar Diagrams</t>
  </si>
  <si>
    <t>Reichmann pp 123-124</t>
  </si>
  <si>
    <t>Select aircraft 1</t>
  </si>
  <si>
    <t xml:space="preserve"> =&gt;&gt;</t>
  </si>
  <si>
    <t>Select aircraft 2</t>
  </si>
  <si>
    <t>Sink speed</t>
  </si>
  <si>
    <t>Speed</t>
  </si>
  <si>
    <t>Selected 1</t>
  </si>
  <si>
    <t>Selected 2</t>
  </si>
  <si>
    <t>Calculated</t>
  </si>
  <si>
    <t>L/D line</t>
  </si>
  <si>
    <t>Plotted 1</t>
  </si>
  <si>
    <t>Plotted 2</t>
  </si>
  <si>
    <t>Air movement</t>
  </si>
  <si>
    <t>Si</t>
  </si>
  <si>
    <t>Polar characteristics</t>
  </si>
  <si>
    <t>(knots)</t>
  </si>
  <si>
    <t>a</t>
  </si>
  <si>
    <t>y = a x^2 + b x + c</t>
  </si>
  <si>
    <t>b</t>
  </si>
  <si>
    <t>c</t>
  </si>
  <si>
    <t>Tangent to polar</t>
  </si>
  <si>
    <t>y = m x + k</t>
  </si>
  <si>
    <t>m</t>
  </si>
  <si>
    <t>k</t>
  </si>
  <si>
    <t>Speed to fly</t>
  </si>
  <si>
    <t>Vstf</t>
  </si>
  <si>
    <t>Sink rate</t>
  </si>
  <si>
    <t>Glide ratio</t>
  </si>
  <si>
    <t>L/d</t>
  </si>
  <si>
    <t>Best Speed to fly</t>
  </si>
  <si>
    <t>Minimum sink speed</t>
  </si>
  <si>
    <t>Vmin</t>
  </si>
  <si>
    <t>Xcountry speed</t>
  </si>
  <si>
    <t>Vxc</t>
  </si>
  <si>
    <t>sink rate (knots)</t>
  </si>
  <si>
    <t>speed (knots)</t>
  </si>
  <si>
    <t>V1</t>
  </si>
  <si>
    <t>V2</t>
  </si>
  <si>
    <t>V3</t>
  </si>
  <si>
    <t>Maximum</t>
  </si>
  <si>
    <t>Minimum</t>
  </si>
  <si>
    <t>Calculated Cruise Chart</t>
  </si>
  <si>
    <t>Derived from Cross Country Soaring  pp 8-17</t>
  </si>
  <si>
    <t>Vav</t>
  </si>
  <si>
    <t>average cruising speed</t>
  </si>
  <si>
    <t>Select sink factor</t>
  </si>
  <si>
    <t>Vc</t>
  </si>
  <si>
    <t>true cruising speed</t>
  </si>
  <si>
    <t>Vs</t>
  </si>
  <si>
    <t>sink speed for a/c at Vc</t>
  </si>
  <si>
    <t>=</t>
  </si>
  <si>
    <t>min sink speed for a/c</t>
  </si>
  <si>
    <t>1 + Vs/Vmin</t>
  </si>
  <si>
    <t>Sink factor</t>
  </si>
  <si>
    <t>Average Speed (kph)</t>
  </si>
  <si>
    <t>L/D ratio</t>
  </si>
  <si>
    <t>Expected climb rate (knots)</t>
  </si>
  <si>
    <t>Expected climb rate</t>
  </si>
  <si>
    <t>Maximum value</t>
  </si>
  <si>
    <t>Final Glide calculator</t>
  </si>
  <si>
    <t>Reichmann pp137-140</t>
  </si>
  <si>
    <t>Vg</t>
  </si>
  <si>
    <t>Cl</t>
  </si>
  <si>
    <t>V</t>
  </si>
  <si>
    <t>Eg</t>
  </si>
  <si>
    <t>Head</t>
  </si>
  <si>
    <t>Wind Component (knots)</t>
  </si>
  <si>
    <t>Tail</t>
  </si>
  <si>
    <t>h50</t>
  </si>
  <si>
    <t>Speed to fly and Cruise speed</t>
  </si>
  <si>
    <t>Cl (knots)</t>
  </si>
  <si>
    <t>Vstf (knots)</t>
  </si>
  <si>
    <t>Vav (knots)</t>
  </si>
  <si>
    <t>Vav (kph)</t>
  </si>
  <si>
    <t>What is the best speed to fly between thermals?</t>
  </si>
  <si>
    <t>A</t>
  </si>
  <si>
    <t>C</t>
  </si>
  <si>
    <t>B3</t>
  </si>
  <si>
    <t>slow</t>
  </si>
  <si>
    <t>B2</t>
  </si>
  <si>
    <t>medium</t>
  </si>
  <si>
    <t>B1</t>
  </si>
  <si>
    <t>fast</t>
  </si>
  <si>
    <t>Average climb rate</t>
  </si>
  <si>
    <t>bottom of working band</t>
  </si>
  <si>
    <t>feet</t>
  </si>
  <si>
    <t>B1,B2,B3</t>
  </si>
  <si>
    <t>cloud base or top of working band</t>
  </si>
  <si>
    <t>convection height</t>
  </si>
  <si>
    <t>Thermal distance factor</t>
  </si>
  <si>
    <t>Distance between thermals</t>
  </si>
  <si>
    <t>nmiles</t>
  </si>
  <si>
    <t>km</t>
  </si>
  <si>
    <t>Speed selected (knots)</t>
  </si>
  <si>
    <t>XXX marks the speed to fly</t>
  </si>
  <si>
    <t>glide ratio at this speed</t>
  </si>
  <si>
    <t>time to fly AB (mins)</t>
  </si>
  <si>
    <t>height loss in glide (feet)</t>
  </si>
  <si>
    <t>contact height for next thermal</t>
  </si>
  <si>
    <t>time to climb BC (mins)</t>
  </si>
  <si>
    <t>Total time ABC (mins)</t>
  </si>
  <si>
    <t>Calculated cruise speed</t>
  </si>
  <si>
    <t>% extra time in cruise</t>
  </si>
  <si>
    <t>% extra time in climb</t>
  </si>
  <si>
    <t>% extra time overall</t>
  </si>
  <si>
    <t>% reduction in cruise speed</t>
  </si>
  <si>
    <t>Assumptions</t>
  </si>
  <si>
    <t>cm</t>
  </si>
  <si>
    <t>in</t>
  </si>
  <si>
    <t>metres per second</t>
  </si>
  <si>
    <t>mm</t>
  </si>
  <si>
    <t>miles per hour</t>
  </si>
  <si>
    <t>mph</t>
  </si>
  <si>
    <t>ft</t>
  </si>
  <si>
    <t>kilometres per hour</t>
  </si>
  <si>
    <t>kph</t>
  </si>
  <si>
    <t>feet per min</t>
  </si>
  <si>
    <t>fpm</t>
  </si>
  <si>
    <t>knot</t>
  </si>
  <si>
    <t>ft/hr</t>
  </si>
  <si>
    <t>hundred feet per min</t>
  </si>
  <si>
    <t>hfpm</t>
  </si>
  <si>
    <t>m/hr</t>
  </si>
  <si>
    <t>km/hr</t>
  </si>
  <si>
    <t>m/s</t>
  </si>
  <si>
    <t>hour</t>
  </si>
  <si>
    <t>min</t>
  </si>
  <si>
    <t>sec</t>
  </si>
  <si>
    <t>smph</t>
  </si>
  <si>
    <t>metres per hour</t>
  </si>
  <si>
    <t>kilometre per hour</t>
  </si>
  <si>
    <t>ft/min</t>
  </si>
  <si>
    <t>nautical mile per hour</t>
  </si>
  <si>
    <t>mile</t>
  </si>
  <si>
    <t>mile/hr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</si>
</sst>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0.0000"/>
    <numFmt numFmtId="195" formatCode="0.0000000"/>
    <numFmt numFmtId="196" formatCode="0.000000"/>
    <numFmt numFmtId="197" formatCode="0.00000"/>
    <numFmt numFmtId="198" formatCode="0.000000000"/>
    <numFmt numFmtId="199" formatCode="0.00000000"/>
    <numFmt numFmtId="200" formatCode="0.0000000000"/>
    <numFmt numFmtId="201" formatCode="0.00000000000"/>
    <numFmt numFmtId="202" formatCode="[Red]@"/>
    <numFmt numFmtId="203" formatCode="0;0;0;[Red]@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b/>
      <sz val="14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b/>
      <sz val="8"/>
      <name val="Geneva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right"/>
    </xf>
    <xf numFmtId="196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92" fontId="0" fillId="0" borderId="7" xfId="0" applyNumberFormat="1" applyBorder="1" applyAlignment="1">
      <alignment horizontal="center"/>
    </xf>
    <xf numFmtId="192" fontId="0" fillId="0" borderId="8" xfId="0" applyNumberFormat="1" applyBorder="1" applyAlignment="1">
      <alignment horizontal="center"/>
    </xf>
    <xf numFmtId="192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9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18">
      <alignment/>
      <protection/>
    </xf>
    <xf numFmtId="2" fontId="11" fillId="0" borderId="0" xfId="18" applyNumberFormat="1">
      <alignment/>
      <protection/>
    </xf>
    <xf numFmtId="1" fontId="11" fillId="0" borderId="0" xfId="18" applyNumberFormat="1">
      <alignment/>
      <protection/>
    </xf>
    <xf numFmtId="192" fontId="11" fillId="0" borderId="0" xfId="18" applyNumberFormat="1">
      <alignment/>
      <protection/>
    </xf>
    <xf numFmtId="0" fontId="11" fillId="0" borderId="0" xfId="18" applyAlignment="1">
      <alignment horizontal="center"/>
      <protection/>
    </xf>
    <xf numFmtId="0" fontId="1" fillId="0" borderId="0" xfId="0" applyFont="1" applyAlignment="1">
      <alignment horizontal="center"/>
    </xf>
    <xf numFmtId="0" fontId="11" fillId="0" borderId="0" xfId="18" applyFont="1">
      <alignment/>
      <protection/>
    </xf>
    <xf numFmtId="192" fontId="11" fillId="0" borderId="0" xfId="18" applyNumberFormat="1" applyAlignment="1">
      <alignment/>
      <protection/>
    </xf>
    <xf numFmtId="9" fontId="11" fillId="0" borderId="0" xfId="19" applyAlignment="1">
      <alignment/>
    </xf>
    <xf numFmtId="0" fontId="9" fillId="0" borderId="0" xfId="18" applyFont="1" applyAlignment="1">
      <alignment horizontal="center"/>
      <protection/>
    </xf>
    <xf numFmtId="203" fontId="11" fillId="0" borderId="0" xfId="18" applyNumberFormat="1" applyAlignment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18" applyFont="1">
      <alignment/>
      <protection/>
    </xf>
    <xf numFmtId="0" fontId="9" fillId="0" borderId="0" xfId="18" applyFont="1" applyAlignment="1">
      <alignment horizontal="right"/>
      <protection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0" fillId="0" borderId="3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5" xfId="0" applyNumberForma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6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16" xfId="0" applyNumberFormat="1" applyBorder="1" applyAlignment="1">
      <alignment/>
    </xf>
    <xf numFmtId="192" fontId="0" fillId="0" borderId="10" xfId="0" applyNumberForma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2" xfId="0" applyNumberFormat="1" applyBorder="1" applyAlignment="1">
      <alignment/>
    </xf>
    <xf numFmtId="9" fontId="0" fillId="0" borderId="0" xfId="19" applyAlignment="1">
      <alignment/>
    </xf>
    <xf numFmtId="2" fontId="11" fillId="2" borderId="17" xfId="17" applyNumberFormat="1" applyFont="1" applyFill="1" applyBorder="1" applyAlignment="1">
      <alignment horizontal="center"/>
      <protection/>
    </xf>
    <xf numFmtId="2" fontId="11" fillId="2" borderId="18" xfId="17" applyNumberFormat="1" applyFont="1" applyFill="1" applyBorder="1" applyAlignment="1">
      <alignment horizontal="center"/>
      <protection/>
    </xf>
    <xf numFmtId="1" fontId="11" fillId="2" borderId="18" xfId="17" applyNumberFormat="1" applyFont="1" applyFill="1" applyBorder="1" applyAlignment="1">
      <alignment horizontal="center"/>
      <protection/>
    </xf>
    <xf numFmtId="1" fontId="11" fillId="0" borderId="18" xfId="17" applyNumberFormat="1" applyFont="1" applyBorder="1" applyAlignment="1">
      <alignment horizontal="center"/>
      <protection/>
    </xf>
    <xf numFmtId="2" fontId="11" fillId="0" borderId="18" xfId="17" applyNumberFormat="1" applyFont="1" applyBorder="1" applyAlignment="1">
      <alignment horizontal="center"/>
      <protection/>
    </xf>
    <xf numFmtId="0" fontId="11" fillId="0" borderId="18" xfId="17" applyFont="1" applyBorder="1" applyAlignment="1">
      <alignment horizontal="center"/>
      <protection/>
    </xf>
    <xf numFmtId="2" fontId="11" fillId="0" borderId="19" xfId="17" applyNumberFormat="1" applyFont="1" applyBorder="1">
      <alignment/>
      <protection/>
    </xf>
    <xf numFmtId="2" fontId="11" fillId="0" borderId="0" xfId="17" applyNumberFormat="1" applyFont="1" applyBorder="1">
      <alignment/>
      <protection/>
    </xf>
    <xf numFmtId="2" fontId="11" fillId="3" borderId="0" xfId="17" applyNumberFormat="1" applyFont="1" applyFill="1" applyBorder="1">
      <alignment/>
      <protection/>
    </xf>
    <xf numFmtId="0" fontId="11" fillId="0" borderId="0" xfId="17" applyFont="1" applyBorder="1">
      <alignment/>
      <protection/>
    </xf>
    <xf numFmtId="0" fontId="11" fillId="0" borderId="19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 applyProtection="1">
      <alignment/>
      <protection locked="0"/>
    </xf>
    <xf numFmtId="0" fontId="11" fillId="3" borderId="0" xfId="17" applyFont="1" applyFill="1" applyBorder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19" xfId="17" applyFont="1" applyBorder="1">
      <alignment/>
      <protection/>
    </xf>
    <xf numFmtId="2" fontId="11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2" fontId="11" fillId="0" borderId="0" xfId="17" applyNumberFormat="1" applyFont="1" applyFill="1" applyBorder="1" applyAlignment="1">
      <alignment horizontal="center"/>
      <protection/>
    </xf>
    <xf numFmtId="1" fontId="11" fillId="0" borderId="0" xfId="17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11" fillId="0" borderId="0" xfId="17" applyNumberFormat="1" applyFont="1" applyFill="1" applyBorder="1" applyAlignment="1">
      <alignment horizontal="left"/>
      <protection/>
    </xf>
    <xf numFmtId="0" fontId="11" fillId="3" borderId="0" xfId="18" applyFill="1" applyProtection="1">
      <alignment/>
      <protection locked="0"/>
    </xf>
  </cellXfs>
  <cellStyles count="8">
    <cellStyle name="Normal" xfId="0"/>
    <cellStyle name="Currency" xfId="15"/>
    <cellStyle name="Currency [0]" xfId="16"/>
    <cellStyle name="Normal_Glider Performances" xfId="17"/>
    <cellStyle name="Normal_Sheet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1045"/>
          <c:w val="0.907"/>
          <c:h val="0.8955"/>
        </c:manualLayout>
      </c:layout>
      <c:scatterChart>
        <c:scatterStyle val="smooth"/>
        <c:varyColors val="0"/>
        <c:ser>
          <c:idx val="0"/>
          <c:order val="0"/>
          <c:tx>
            <c:strRef>
              <c:f>PolarCalcs!$I$4:$I$7</c:f>
              <c:strCache>
                <c:ptCount val="1"/>
                <c:pt idx="0">
                  <c:v>Calculated Blanik L13 GB 26,1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PolarCalcs!$I$9:$I$37</c:f>
              <c:numCache>
                <c:ptCount val="29"/>
                <c:pt idx="0">
                  <c:v>-4.454140271493204</c:v>
                </c:pt>
                <c:pt idx="1">
                  <c:v>-3.1553619909502197</c:v>
                </c:pt>
                <c:pt idx="2">
                  <c:v>-2.2363122171945653</c:v>
                </c:pt>
                <c:pt idx="3">
                  <c:v>-1.919185520361987</c:v>
                </c:pt>
                <c:pt idx="4">
                  <c:v>-1.6969909502262412</c:v>
                </c:pt>
                <c:pt idx="5">
                  <c:v>-1.621493212669681</c:v>
                </c:pt>
                <c:pt idx="6">
                  <c:v>-1.5697285067873277</c:v>
                </c:pt>
                <c:pt idx="7">
                  <c:v>-1.5416968325791838</c:v>
                </c:pt>
                <c:pt idx="8">
                  <c:v>-1.5373981900452467</c:v>
                </c:pt>
                <c:pt idx="9">
                  <c:v>-1.556832579185519</c:v>
                </c:pt>
                <c:pt idx="10">
                  <c:v>-1.5999999999999988</c:v>
                </c:pt>
                <c:pt idx="11">
                  <c:v>-1.6669004524886875</c:v>
                </c:pt>
                <c:pt idx="12">
                  <c:v>-1.7575339366515825</c:v>
                </c:pt>
                <c:pt idx="13">
                  <c:v>-1.8719004524886875</c:v>
                </c:pt>
                <c:pt idx="14">
                  <c:v>-2.009999999999999</c:v>
                </c:pt>
                <c:pt idx="15">
                  <c:v>-2.17183257918552</c:v>
                </c:pt>
                <c:pt idx="16">
                  <c:v>-2.3573981900452488</c:v>
                </c:pt>
                <c:pt idx="17">
                  <c:v>-2.5666968325791855</c:v>
                </c:pt>
                <c:pt idx="18">
                  <c:v>-2.799728506787332</c:v>
                </c:pt>
                <c:pt idx="19">
                  <c:v>-3.056493212669684</c:v>
                </c:pt>
                <c:pt idx="20">
                  <c:v>-3.3369909502262445</c:v>
                </c:pt>
                <c:pt idx="21">
                  <c:v>-3.6412217194570147</c:v>
                </c:pt>
                <c:pt idx="22">
                  <c:v>-3.9691855203619912</c:v>
                </c:pt>
                <c:pt idx="23">
                  <c:v>-4.320882352941178</c:v>
                </c:pt>
                <c:pt idx="24">
                  <c:v>-4.696312217194569</c:v>
                </c:pt>
                <c:pt idx="25">
                  <c:v>-5.095475113122173</c:v>
                </c:pt>
                <c:pt idx="26">
                  <c:v>-5.5183710407239825</c:v>
                </c:pt>
                <c:pt idx="27">
                  <c:v>-5.964999999999998</c:v>
                </c:pt>
                <c:pt idx="28">
                  <c:v>-6.435361990950227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PolarCalcs!$J$4:$J$7</c:f>
              <c:strCache>
                <c:ptCount val="1"/>
                <c:pt idx="0">
                  <c:v>L/D line Blanik L13 GB 26,1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PolarCalcs!$J$9:$J$37</c:f>
              <c:numCache>
                <c:ptCount val="2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-3.1551919592189326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PolarCalcs!$K$4:$K$7</c:f>
              <c:strCache>
                <c:ptCount val="1"/>
                <c:pt idx="0">
                  <c:v>Plotted 1 Blanik L13 GB 26,1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PolarCalcs!$K$9:$K$37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-1.6</c:v>
                </c:pt>
                <c:pt idx="11">
                  <c:v>-1.6800000000000002</c:v>
                </c:pt>
                <c:pt idx="12">
                  <c:v>-1.76</c:v>
                </c:pt>
                <c:pt idx="13">
                  <c:v>-1.8849999999999998</c:v>
                </c:pt>
                <c:pt idx="14">
                  <c:v>-2.01</c:v>
                </c:pt>
                <c:pt idx="15">
                  <c:v>-2.1849999999999996</c:v>
                </c:pt>
                <c:pt idx="16">
                  <c:v>-2.36</c:v>
                </c:pt>
                <c:pt idx="17">
                  <c:v>-2.585</c:v>
                </c:pt>
                <c:pt idx="18">
                  <c:v>-2.81</c:v>
                </c:pt>
                <c:pt idx="19">
                  <c:v>-3.075</c:v>
                </c:pt>
                <c:pt idx="20">
                  <c:v>-3.34</c:v>
                </c:pt>
                <c:pt idx="21">
                  <c:v>-3.6550000000000002</c:v>
                </c:pt>
                <c:pt idx="22">
                  <c:v>-3.97</c:v>
                </c:pt>
                <c:pt idx="23">
                  <c:v>-4.335</c:v>
                </c:pt>
                <c:pt idx="24">
                  <c:v>-4.7</c:v>
                </c:pt>
                <c:pt idx="25">
                  <c:v>-5.105</c:v>
                </c:pt>
                <c:pt idx="26">
                  <c:v>-5.51</c:v>
                </c:pt>
                <c:pt idx="27">
                  <c:v>-5.965</c:v>
                </c:pt>
                <c:pt idx="28">
                  <c:v>-6.42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PolarCalcs!$L$4:$L$7</c:f>
              <c:strCache>
                <c:ptCount val="1"/>
                <c:pt idx="0">
                  <c:v>Plotted 2 Pegase 101A IDA 32,8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PolarCalcs!$L$9:$L$37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-1.5929341069208454</c:v>
                </c:pt>
                <c:pt idx="7">
                  <c:v>-1.2821176958143392</c:v>
                </c:pt>
                <c:pt idx="8">
                  <c:v>-1.2238396187318692</c:v>
                </c:pt>
                <c:pt idx="9">
                  <c:v>-1.2044135930377124</c:v>
                </c:pt>
                <c:pt idx="10">
                  <c:v>-1.2238396187318692</c:v>
                </c:pt>
                <c:pt idx="11">
                  <c:v>-1.2821176958143392</c:v>
                </c:pt>
                <c:pt idx="12">
                  <c:v>-1.3598217985909655</c:v>
                </c:pt>
                <c:pt idx="13">
                  <c:v>-1.4569519270617488</c:v>
                </c:pt>
                <c:pt idx="14">
                  <c:v>-1.5735080812266888</c:v>
                </c:pt>
                <c:pt idx="15">
                  <c:v>-1.7289162867799421</c:v>
                </c:pt>
                <c:pt idx="16">
                  <c:v>-1.9231765437215085</c:v>
                </c:pt>
                <c:pt idx="17">
                  <c:v>-2.0980107749689187</c:v>
                </c:pt>
                <c:pt idx="18">
                  <c:v>-2.3311230832987984</c:v>
                </c:pt>
                <c:pt idx="19">
                  <c:v>-2.5642353916286784</c:v>
                </c:pt>
                <c:pt idx="20">
                  <c:v>-2.855625777041028</c:v>
                </c:pt>
                <c:pt idx="21">
                  <c:v>-3.1275901367592214</c:v>
                </c:pt>
                <c:pt idx="22">
                  <c:v>-3.418980522171571</c:v>
                </c:pt>
                <c:pt idx="23">
                  <c:v>-3.729796933278077</c:v>
                </c:pt>
                <c:pt idx="24">
                  <c:v>-4.021187318690426</c:v>
                </c:pt>
                <c:pt idx="25">
                  <c:v>-4.312577704102777</c:v>
                </c:pt>
                <c:pt idx="26">
                  <c:v>-4.603968089515127</c:v>
                </c:pt>
                <c:pt idx="27">
                  <c:v>-4.934210526315789</c:v>
                </c:pt>
                <c:pt idx="28">
                  <c:v>-5.245026937422296</c:v>
                </c:pt>
              </c:numCache>
            </c:numRef>
          </c:yVal>
          <c:smooth val="1"/>
        </c:ser>
        <c:axId val="1904619"/>
        <c:axId val="17141572"/>
      </c:scatterChart>
      <c:val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(knots)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141572"/>
        <c:crosses val="autoZero"/>
        <c:crossBetween val="midCat"/>
        <c:dispUnits/>
      </c:val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Sink rate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4619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5185"/>
          <c:w val="0.3"/>
          <c:h val="0.147"/>
        </c:manualLayout>
      </c:layout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"/>
          <c:w val="0.88325"/>
          <c:h val="0.936"/>
        </c:manualLayout>
      </c:layout>
      <c:barChart>
        <c:barDir val="col"/>
        <c:grouping val="clustered"/>
        <c:varyColors val="0"/>
        <c:axId val="25707153"/>
        <c:axId val="30037786"/>
      </c:bar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37786"/>
        <c:crosses val="autoZero"/>
        <c:auto val="0"/>
        <c:lblOffset val="100"/>
        <c:noMultiLvlLbl val="0"/>
      </c:catAx>
      <c:valAx>
        <c:axId val="3003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Glide ratio over ground</a:t>
            </a:r>
          </a:p>
        </c:rich>
      </c:tx>
      <c:layout>
        <c:manualLayout>
          <c:xMode val="factor"/>
          <c:yMode val="factor"/>
          <c:x val="0.004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875"/>
          <c:w val="0.9762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FinalGlide!$A$8:$B$8</c:f>
              <c:strCache>
                <c:ptCount val="1"/>
                <c:pt idx="0">
                  <c:v>0 52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FinalGlide!$E$36:$M$36</c:f>
              <c:numCache>
                <c:ptCount val="9"/>
                <c:pt idx="0">
                  <c:v>7.227417398285819</c:v>
                </c:pt>
                <c:pt idx="1">
                  <c:v>13.116618449320471</c:v>
                </c:pt>
                <c:pt idx="2">
                  <c:v>19.005819500355123</c:v>
                </c:pt>
                <c:pt idx="3">
                  <c:v>24.895020551389777</c:v>
                </c:pt>
                <c:pt idx="4">
                  <c:v>30.784221602424427</c:v>
                </c:pt>
                <c:pt idx="5">
                  <c:v>36.67342265345908</c:v>
                </c:pt>
                <c:pt idx="6">
                  <c:v>42.56262370449373</c:v>
                </c:pt>
                <c:pt idx="7">
                  <c:v>48.451824755528385</c:v>
                </c:pt>
                <c:pt idx="8">
                  <c:v>54.34102580656304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FinalGlide!$A$9:$B$9</c:f>
              <c:strCache>
                <c:ptCount val="1"/>
                <c:pt idx="0">
                  <c:v>1 58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FinalGlide!$E$37:$M$37</c:f>
              <c:numCache>
                <c:ptCount val="9"/>
                <c:pt idx="0">
                  <c:v>9.247224404567907</c:v>
                </c:pt>
                <c:pt idx="1">
                  <c:v>14.429689816006636</c:v>
                </c:pt>
                <c:pt idx="2">
                  <c:v>19.612155227445363</c:v>
                </c:pt>
                <c:pt idx="3">
                  <c:v>24.794620638884094</c:v>
                </c:pt>
                <c:pt idx="4">
                  <c:v>29.97708605032282</c:v>
                </c:pt>
                <c:pt idx="5">
                  <c:v>35.159551461761545</c:v>
                </c:pt>
                <c:pt idx="6">
                  <c:v>40.34201687320028</c:v>
                </c:pt>
                <c:pt idx="7">
                  <c:v>45.52448228463901</c:v>
                </c:pt>
                <c:pt idx="8">
                  <c:v>50.706947696077734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FinalGlide!$A$10:$B$10</c:f>
              <c:strCache>
                <c:ptCount val="1"/>
                <c:pt idx="0">
                  <c:v>2 63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FinalGlide!$E$38:$M$38</c:f>
              <c:numCache>
                <c:ptCount val="9"/>
                <c:pt idx="0">
                  <c:v>10.284355785025296</c:v>
                </c:pt>
                <c:pt idx="1">
                  <c:v>14.770845256028707</c:v>
                </c:pt>
                <c:pt idx="2">
                  <c:v>19.25733472703212</c:v>
                </c:pt>
                <c:pt idx="3">
                  <c:v>23.74382419803553</c:v>
                </c:pt>
                <c:pt idx="4">
                  <c:v>28.23031366903894</c:v>
                </c:pt>
                <c:pt idx="5">
                  <c:v>32.716803140042344</c:v>
                </c:pt>
                <c:pt idx="6">
                  <c:v>37.20329261104576</c:v>
                </c:pt>
                <c:pt idx="7">
                  <c:v>41.68978208204917</c:v>
                </c:pt>
                <c:pt idx="8">
                  <c:v>46.17627155305258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FinalGlide!$A$12:$B$12</c:f>
              <c:strCache>
                <c:ptCount val="1"/>
                <c:pt idx="0">
                  <c:v>4 72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FinalGlide!$E$40:$M$40</c:f>
              <c:numCache>
                <c:ptCount val="9"/>
                <c:pt idx="0">
                  <c:v>10.76233157935428</c:v>
                </c:pt>
                <c:pt idx="1">
                  <c:v>14.123956382423598</c:v>
                </c:pt>
                <c:pt idx="2">
                  <c:v>17.48558118549292</c:v>
                </c:pt>
                <c:pt idx="3">
                  <c:v>20.847205988562237</c:v>
                </c:pt>
                <c:pt idx="4">
                  <c:v>24.208830791631556</c:v>
                </c:pt>
                <c:pt idx="5">
                  <c:v>27.570455594700874</c:v>
                </c:pt>
                <c:pt idx="6">
                  <c:v>30.932080397770193</c:v>
                </c:pt>
                <c:pt idx="7">
                  <c:v>34.29370520083951</c:v>
                </c:pt>
                <c:pt idx="8">
                  <c:v>37.65533000390883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FinalGlide!$A$14:$B$14</c:f>
              <c:strCache>
                <c:ptCount val="1"/>
                <c:pt idx="0">
                  <c:v>6 80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FinalGlide!$E$42:$M$42</c:f>
              <c:numCache>
                <c:ptCount val="9"/>
                <c:pt idx="0">
                  <c:v>10.378306460180772</c:v>
                </c:pt>
                <c:pt idx="1">
                  <c:v>12.967585777478085</c:v>
                </c:pt>
                <c:pt idx="2">
                  <c:v>15.556865094775397</c:v>
                </c:pt>
                <c:pt idx="3">
                  <c:v>18.146144412072708</c:v>
                </c:pt>
                <c:pt idx="4">
                  <c:v>20.735423729370023</c:v>
                </c:pt>
                <c:pt idx="5">
                  <c:v>23.324703046667334</c:v>
                </c:pt>
                <c:pt idx="6">
                  <c:v>25.913982363964646</c:v>
                </c:pt>
                <c:pt idx="7">
                  <c:v>28.503261681261957</c:v>
                </c:pt>
                <c:pt idx="8">
                  <c:v>31.09254099855927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FinalGlide!$A$16:$B$16</c:f>
              <c:strCache>
                <c:ptCount val="1"/>
                <c:pt idx="0">
                  <c:v>8 87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FinalGlide!$E$44:$M$44</c:f>
              <c:numCache>
                <c:ptCount val="9"/>
                <c:pt idx="0">
                  <c:v>9.771321886568742</c:v>
                </c:pt>
                <c:pt idx="1">
                  <c:v>11.832473323747593</c:v>
                </c:pt>
                <c:pt idx="2">
                  <c:v>13.893624760926444</c:v>
                </c:pt>
                <c:pt idx="3">
                  <c:v>15.954776198105296</c:v>
                </c:pt>
                <c:pt idx="4">
                  <c:v>18.015927635284147</c:v>
                </c:pt>
                <c:pt idx="5">
                  <c:v>20.077079072463</c:v>
                </c:pt>
                <c:pt idx="6">
                  <c:v>22.13823050964185</c:v>
                </c:pt>
                <c:pt idx="7">
                  <c:v>24.199381946820704</c:v>
                </c:pt>
                <c:pt idx="8">
                  <c:v>26.260533383999555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FinalGlide!$A$18:$B$18</c:f>
              <c:strCache>
                <c:ptCount val="1"/>
                <c:pt idx="0">
                  <c:v>10 94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FinalGlide!$E$46:$M$46</c:f>
              <c:numCache>
                <c:ptCount val="9"/>
                <c:pt idx="0">
                  <c:v>9.149978492152512</c:v>
                </c:pt>
                <c:pt idx="1">
                  <c:v>10.839281121779837</c:v>
                </c:pt>
                <c:pt idx="2">
                  <c:v>12.528583751407162</c:v>
                </c:pt>
                <c:pt idx="3">
                  <c:v>14.217886381034488</c:v>
                </c:pt>
                <c:pt idx="4">
                  <c:v>15.907189010661813</c:v>
                </c:pt>
                <c:pt idx="5">
                  <c:v>17.596491640289138</c:v>
                </c:pt>
                <c:pt idx="6">
                  <c:v>19.285794269916465</c:v>
                </c:pt>
                <c:pt idx="7">
                  <c:v>20.97509689954379</c:v>
                </c:pt>
                <c:pt idx="8">
                  <c:v>22.664399529171114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FinalGlide!$A$20:$B$20</c:f>
              <c:strCache>
                <c:ptCount val="1"/>
                <c:pt idx="0">
                  <c:v>12 100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FinalGlide!$E$48:$M$48</c:f>
              <c:numCache>
                <c:ptCount val="9"/>
                <c:pt idx="0">
                  <c:v>8.576897393583758</c:v>
                </c:pt>
                <c:pt idx="1">
                  <c:v>9.995318296282017</c:v>
                </c:pt>
                <c:pt idx="2">
                  <c:v>11.413739198980275</c:v>
                </c:pt>
                <c:pt idx="3">
                  <c:v>12.832160101678536</c:v>
                </c:pt>
                <c:pt idx="4">
                  <c:v>14.250581004376794</c:v>
                </c:pt>
                <c:pt idx="5">
                  <c:v>15.669001907075053</c:v>
                </c:pt>
                <c:pt idx="6">
                  <c:v>17.08742280977331</c:v>
                </c:pt>
                <c:pt idx="7">
                  <c:v>18.50584371247157</c:v>
                </c:pt>
                <c:pt idx="8">
                  <c:v>19.92426461516983</c:v>
                </c:pt>
              </c:numCache>
            </c:numRef>
          </c:yVal>
          <c:smooth val="0"/>
        </c:ser>
        <c:axId val="20056421"/>
        <c:axId val="46290062"/>
      </c:scatterChart>
      <c:valAx>
        <c:axId val="2005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90062"/>
        <c:crosses val="autoZero"/>
        <c:crossBetween val="midCat"/>
        <c:dispUnits/>
      </c:valAx>
      <c:valAx>
        <c:axId val="46290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56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15425"/>
          <c:w val="0.22325"/>
          <c:h val="0.45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Height to start final glide</a:t>
            </a:r>
          </a:p>
        </c:rich>
      </c:tx>
      <c:layout>
        <c:manualLayout>
          <c:xMode val="factor"/>
          <c:yMode val="factor"/>
          <c:x val="-0.137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FinalGlide!$A$8:$B$8</c:f>
              <c:strCache>
                <c:ptCount val="1"/>
                <c:pt idx="0">
                  <c:v>0 52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FinalGlide!$E$22:$M$22</c:f>
              <c:numCache>
                <c:ptCount val="9"/>
                <c:pt idx="0">
                  <c:v>22700</c:v>
                </c:pt>
                <c:pt idx="1">
                  <c:v>12500</c:v>
                </c:pt>
                <c:pt idx="2">
                  <c:v>8600</c:v>
                </c:pt>
                <c:pt idx="3">
                  <c:v>6600</c:v>
                </c:pt>
                <c:pt idx="4">
                  <c:v>5300</c:v>
                </c:pt>
                <c:pt idx="5">
                  <c:v>4500</c:v>
                </c:pt>
                <c:pt idx="6">
                  <c:v>3900</c:v>
                </c:pt>
                <c:pt idx="7">
                  <c:v>3400</c:v>
                </c:pt>
                <c:pt idx="8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FinalGlide!$A$9:$B$9</c:f>
              <c:strCache>
                <c:ptCount val="1"/>
                <c:pt idx="0">
                  <c:v>1 58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FinalGlide!$E$23:$M$23</c:f>
              <c:numCache>
                <c:ptCount val="9"/>
                <c:pt idx="0">
                  <c:v>17700</c:v>
                </c:pt>
                <c:pt idx="1">
                  <c:v>11400</c:v>
                </c:pt>
                <c:pt idx="2">
                  <c:v>8400</c:v>
                </c:pt>
                <c:pt idx="3">
                  <c:v>6600</c:v>
                </c:pt>
                <c:pt idx="4">
                  <c:v>5500</c:v>
                </c:pt>
                <c:pt idx="5">
                  <c:v>4700</c:v>
                </c:pt>
                <c:pt idx="6">
                  <c:v>4100</c:v>
                </c:pt>
                <c:pt idx="7">
                  <c:v>3600</c:v>
                </c:pt>
                <c:pt idx="8">
                  <c:v>3200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FinalGlide!$A$10:$B$10</c:f>
              <c:strCache>
                <c:ptCount val="1"/>
                <c:pt idx="0">
                  <c:v>2 63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FinalGlide!$E$24:$M$24</c:f>
              <c:numCache>
                <c:ptCount val="9"/>
                <c:pt idx="0">
                  <c:v>16000</c:v>
                </c:pt>
                <c:pt idx="1">
                  <c:v>11100</c:v>
                </c:pt>
                <c:pt idx="2">
                  <c:v>8500</c:v>
                </c:pt>
                <c:pt idx="3">
                  <c:v>6900</c:v>
                </c:pt>
                <c:pt idx="4">
                  <c:v>5800</c:v>
                </c:pt>
                <c:pt idx="5">
                  <c:v>5000</c:v>
                </c:pt>
                <c:pt idx="6">
                  <c:v>4400</c:v>
                </c:pt>
                <c:pt idx="7">
                  <c:v>3900</c:v>
                </c:pt>
                <c:pt idx="8">
                  <c:v>3600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FinalGlide!$A$12:$B$12</c:f>
              <c:strCache>
                <c:ptCount val="1"/>
                <c:pt idx="0">
                  <c:v>4 72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FinalGlide!$E$26:$M$26</c:f>
              <c:numCache>
                <c:ptCount val="9"/>
                <c:pt idx="0">
                  <c:v>15200</c:v>
                </c:pt>
                <c:pt idx="1">
                  <c:v>11600</c:v>
                </c:pt>
                <c:pt idx="2">
                  <c:v>9400</c:v>
                </c:pt>
                <c:pt idx="3">
                  <c:v>7900</c:v>
                </c:pt>
                <c:pt idx="4">
                  <c:v>6800</c:v>
                </c:pt>
                <c:pt idx="5">
                  <c:v>5900</c:v>
                </c:pt>
                <c:pt idx="6">
                  <c:v>5300</c:v>
                </c:pt>
                <c:pt idx="7">
                  <c:v>4800</c:v>
                </c:pt>
                <c:pt idx="8">
                  <c:v>4400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FinalGlide!$A$14:$B$14</c:f>
              <c:strCache>
                <c:ptCount val="1"/>
                <c:pt idx="0">
                  <c:v>6 80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FinalGlide!$E$28:$M$28</c:f>
              <c:numCache>
                <c:ptCount val="9"/>
                <c:pt idx="0">
                  <c:v>15800</c:v>
                </c:pt>
                <c:pt idx="1">
                  <c:v>12700</c:v>
                </c:pt>
                <c:pt idx="2">
                  <c:v>10500</c:v>
                </c:pt>
                <c:pt idx="3">
                  <c:v>9000</c:v>
                </c:pt>
                <c:pt idx="4">
                  <c:v>7900</c:v>
                </c:pt>
                <c:pt idx="5">
                  <c:v>7000</c:v>
                </c:pt>
                <c:pt idx="6">
                  <c:v>6300</c:v>
                </c:pt>
                <c:pt idx="7">
                  <c:v>5800</c:v>
                </c:pt>
                <c:pt idx="8">
                  <c:v>5300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FinalGlide!$A$16:$B$16</c:f>
              <c:strCache>
                <c:ptCount val="1"/>
                <c:pt idx="0">
                  <c:v>8 87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FinalGlide!$E$30:$M$30</c:f>
              <c:numCache>
                <c:ptCount val="9"/>
                <c:pt idx="0">
                  <c:v>16800</c:v>
                </c:pt>
                <c:pt idx="1">
                  <c:v>13900</c:v>
                </c:pt>
                <c:pt idx="2">
                  <c:v>11800</c:v>
                </c:pt>
                <c:pt idx="3">
                  <c:v>10300</c:v>
                </c:pt>
                <c:pt idx="4">
                  <c:v>9100</c:v>
                </c:pt>
                <c:pt idx="5">
                  <c:v>8200</c:v>
                </c:pt>
                <c:pt idx="6">
                  <c:v>7400</c:v>
                </c:pt>
                <c:pt idx="7">
                  <c:v>6800</c:v>
                </c:pt>
                <c:pt idx="8">
                  <c:v>6200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FinalGlide!$A$18:$B$18</c:f>
              <c:strCache>
                <c:ptCount val="1"/>
                <c:pt idx="0">
                  <c:v>10 94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FinalGlide!$E$32:$M$32</c:f>
              <c:numCache>
                <c:ptCount val="9"/>
                <c:pt idx="0">
                  <c:v>17900</c:v>
                </c:pt>
                <c:pt idx="1">
                  <c:v>15100</c:v>
                </c:pt>
                <c:pt idx="2">
                  <c:v>13100</c:v>
                </c:pt>
                <c:pt idx="3">
                  <c:v>11500</c:v>
                </c:pt>
                <c:pt idx="4">
                  <c:v>10300</c:v>
                </c:pt>
                <c:pt idx="5">
                  <c:v>9300</c:v>
                </c:pt>
                <c:pt idx="6">
                  <c:v>8500</c:v>
                </c:pt>
                <c:pt idx="7">
                  <c:v>7800</c:v>
                </c:pt>
                <c:pt idx="8">
                  <c:v>7200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FinalGlide!$A$20:$B$20</c:f>
              <c:strCache>
                <c:ptCount val="1"/>
                <c:pt idx="0">
                  <c:v>12 100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FinalGlide!$E$6:$M$6</c:f>
              <c:numCache>
                <c:ptCount val="9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</c:numCache>
            </c:numRef>
          </c:xVal>
          <c:yVal>
            <c:numRef>
              <c:f>FinalGlide!$E$34:$M$34</c:f>
              <c:numCache>
                <c:ptCount val="9"/>
                <c:pt idx="0">
                  <c:v>19100</c:v>
                </c:pt>
                <c:pt idx="1">
                  <c:v>16400</c:v>
                </c:pt>
                <c:pt idx="2">
                  <c:v>14400</c:v>
                </c:pt>
                <c:pt idx="3">
                  <c:v>12800</c:v>
                </c:pt>
                <c:pt idx="4">
                  <c:v>11500</c:v>
                </c:pt>
                <c:pt idx="5">
                  <c:v>10500</c:v>
                </c:pt>
                <c:pt idx="6">
                  <c:v>9600</c:v>
                </c:pt>
                <c:pt idx="7">
                  <c:v>8900</c:v>
                </c:pt>
                <c:pt idx="8">
                  <c:v>8200</c:v>
                </c:pt>
              </c:numCache>
            </c:numRef>
          </c:yVal>
          <c:smooth val="0"/>
        </c:ser>
        <c:axId val="13957375"/>
        <c:axId val="58507512"/>
      </c:scatterChart>
      <c:valAx>
        <c:axId val="1395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07512"/>
        <c:crosses val="autoZero"/>
        <c:crossBetween val="midCat"/>
        <c:dispUnits/>
      </c:valAx>
      <c:valAx>
        <c:axId val="58507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57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12775"/>
          <c:w val="0.219"/>
          <c:h val="0.4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Speed to fly and Cruise speed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825"/>
          <c:w val="0.98525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SpeedtoFly!$B$7</c:f>
              <c:strCache>
                <c:ptCount val="1"/>
                <c:pt idx="0">
                  <c:v>Vstf (knots)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SpeedtoFly!$A$8:$A$20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SpeedtoFly!$B$8:$B$20</c:f>
              <c:numCache>
                <c:ptCount val="13"/>
                <c:pt idx="0">
                  <c:v>52.27232240104294</c:v>
                </c:pt>
                <c:pt idx="1">
                  <c:v>57.84329208287131</c:v>
                </c:pt>
                <c:pt idx="2">
                  <c:v>62.922946440628074</c:v>
                </c:pt>
                <c:pt idx="3">
                  <c:v>67.62209652588373</c:v>
                </c:pt>
                <c:pt idx="4">
                  <c:v>72.015267050409</c:v>
                </c:pt>
                <c:pt idx="5">
                  <c:v>76.15542947241195</c:v>
                </c:pt>
                <c:pt idx="6">
                  <c:v>80.08183431910946</c:v>
                </c:pt>
                <c:pt idx="7">
                  <c:v>83.82452467923147</c:v>
                </c:pt>
                <c:pt idx="8">
                  <c:v>87.40710318666827</c:v>
                </c:pt>
                <c:pt idx="9">
                  <c:v>90.84851367672815</c:v>
                </c:pt>
                <c:pt idx="10">
                  <c:v>94.16423518011733</c:v>
                </c:pt>
                <c:pt idx="11">
                  <c:v>97.36710911207251</c:v>
                </c:pt>
                <c:pt idx="12">
                  <c:v>100.46792864704646</c:v>
                </c:pt>
              </c:numCache>
            </c:numRef>
          </c:yVal>
          <c:smooth val="0"/>
        </c:ser>
        <c:axId val="56805561"/>
        <c:axId val="41488002"/>
      </c:scatterChart>
      <c:scatterChart>
        <c:scatterStyle val="lineMarker"/>
        <c:varyColors val="0"/>
        <c:ser>
          <c:idx val="1"/>
          <c:order val="1"/>
          <c:tx>
            <c:strRef>
              <c:f>SpeedtoFly!$D$7</c:f>
              <c:strCache>
                <c:ptCount val="1"/>
                <c:pt idx="0">
                  <c:v>Vav (kph)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SpeedtoFly!$A$8:$A$20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SpeedtoFly!$D$8:$D$20</c:f>
              <c:numCache>
                <c:ptCount val="13"/>
                <c:pt idx="0">
                  <c:v>0</c:v>
                </c:pt>
                <c:pt idx="1">
                  <c:v>36.590273535697854</c:v>
                </c:pt>
                <c:pt idx="2">
                  <c:v>55.1478666226893</c:v>
                </c:pt>
                <c:pt idx="3">
                  <c:v>67.36547867339121</c:v>
                </c:pt>
                <c:pt idx="4">
                  <c:v>76.53751201930754</c:v>
                </c:pt>
                <c:pt idx="5">
                  <c:v>83.96925216326909</c:v>
                </c:pt>
                <c:pt idx="6">
                  <c:v>90.28910525010573</c:v>
                </c:pt>
                <c:pt idx="7">
                  <c:v>95.84105685741069</c:v>
                </c:pt>
                <c:pt idx="8">
                  <c:v>100.83147651897332</c:v>
                </c:pt>
                <c:pt idx="9">
                  <c:v>105.39300225646582</c:v>
                </c:pt>
                <c:pt idx="10">
                  <c:v>109.6155852255995</c:v>
                </c:pt>
                <c:pt idx="11">
                  <c:v>113.56290723514661</c:v>
                </c:pt>
                <c:pt idx="12">
                  <c:v>117.28166549186625</c:v>
                </c:pt>
              </c:numCache>
            </c:numRef>
          </c:yVal>
          <c:smooth val="0"/>
        </c:ser>
        <c:axId val="37847699"/>
        <c:axId val="5084972"/>
      </c:scatterChart>
      <c:val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Expected climb rate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488002"/>
        <c:crosses val="autoZero"/>
        <c:crossBetween val="midCat"/>
        <c:dispUnits/>
        <c:majorUnit val="2"/>
      </c:valAx>
      <c:valAx>
        <c:axId val="4148800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Speed to fly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805561"/>
        <c:crosses val="autoZero"/>
        <c:crossBetween val="midCat"/>
        <c:dispUnits/>
        <c:majorUnit val="10"/>
      </c:valAx>
      <c:valAx>
        <c:axId val="37847699"/>
        <c:scaling>
          <c:orientation val="minMax"/>
        </c:scaling>
        <c:axPos val="b"/>
        <c:delete val="1"/>
        <c:majorTickMark val="in"/>
        <c:minorTickMark val="none"/>
        <c:tickLblPos val="nextTo"/>
        <c:crossAx val="5084972"/>
        <c:crosses val="max"/>
        <c:crossBetween val="midCat"/>
        <c:dispUnits/>
      </c:valAx>
      <c:valAx>
        <c:axId val="5084972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Average Speed (kph)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847699"/>
        <c:crosses val="max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cross country speed for different expected climb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0965"/>
          <c:w val="0.57825"/>
          <c:h val="0.796"/>
        </c:manualLayout>
      </c:layout>
      <c:scatterChart>
        <c:scatterStyle val="lineMarker"/>
        <c:varyColors val="1"/>
        <c:ser>
          <c:idx val="0"/>
          <c:order val="0"/>
          <c:tx>
            <c:strRef>
              <c:f>CruiseCalcs!$D$10</c:f>
              <c:strCache>
                <c:ptCount val="1"/>
                <c:pt idx="0">
                  <c:v>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CruiseCalcs!$D$11:$D$39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34.61538461538461</c:v>
                </c:pt>
                <c:pt idx="11">
                  <c:v>35.44776119402985</c:v>
                </c:pt>
                <c:pt idx="12">
                  <c:v>36.231884057971016</c:v>
                </c:pt>
                <c:pt idx="13">
                  <c:v>36.39514731369151</c:v>
                </c:pt>
                <c:pt idx="14">
                  <c:v>36.54485049833887</c:v>
                </c:pt>
                <c:pt idx="15">
                  <c:v>36.10675039246469</c:v>
                </c:pt>
                <c:pt idx="16">
                  <c:v>35.714285714285715</c:v>
                </c:pt>
                <c:pt idx="17">
                  <c:v>34.86750348675035</c:v>
                </c:pt>
                <c:pt idx="18">
                  <c:v>34.120734908136484</c:v>
                </c:pt>
                <c:pt idx="19">
                  <c:v>33.12883435582822</c:v>
                </c:pt>
                <c:pt idx="20">
                  <c:v>32.25806451612904</c:v>
                </c:pt>
                <c:pt idx="21">
                  <c:v>31.14930182599355</c:v>
                </c:pt>
                <c:pt idx="22">
                  <c:v>30.181086519114682</c:v>
                </c:pt>
                <c:pt idx="23">
                  <c:v>29.053420805998126</c:v>
                </c:pt>
                <c:pt idx="24">
                  <c:v>28.070175438596486</c:v>
                </c:pt>
                <c:pt idx="25">
                  <c:v>27.027027027027028</c:v>
                </c:pt>
                <c:pt idx="26">
                  <c:v>26.113671274961597</c:v>
                </c:pt>
                <c:pt idx="27">
                  <c:v>25.12562814070352</c:v>
                </c:pt>
                <c:pt idx="28">
                  <c:v>24.258760107816713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CruiseCalcs!$E$10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CruiseCalcs!$E$11:$E$39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50</c:v>
                </c:pt>
                <c:pt idx="11">
                  <c:v>51.630434782608695</c:v>
                </c:pt>
                <c:pt idx="12">
                  <c:v>53.19148936170213</c:v>
                </c:pt>
                <c:pt idx="13">
                  <c:v>54.054054054054056</c:v>
                </c:pt>
                <c:pt idx="14">
                  <c:v>54.862842892768086</c:v>
                </c:pt>
                <c:pt idx="15">
                  <c:v>54.958183990442066</c:v>
                </c:pt>
                <c:pt idx="16">
                  <c:v>55.045871559633035</c:v>
                </c:pt>
                <c:pt idx="17">
                  <c:v>54.52562704471102</c:v>
                </c:pt>
                <c:pt idx="18">
                  <c:v>54.05405405405405</c:v>
                </c:pt>
                <c:pt idx="19">
                  <c:v>53.20197044334975</c:v>
                </c:pt>
                <c:pt idx="20">
                  <c:v>52.434456928838955</c:v>
                </c:pt>
                <c:pt idx="21">
                  <c:v>51.28205128205128</c:v>
                </c:pt>
                <c:pt idx="22">
                  <c:v>50.251256281407024</c:v>
                </c:pt>
                <c:pt idx="23">
                  <c:v>48.9344909234412</c:v>
                </c:pt>
                <c:pt idx="24">
                  <c:v>47.76119402985074</c:v>
                </c:pt>
                <c:pt idx="25">
                  <c:v>46.446164672765654</c:v>
                </c:pt>
                <c:pt idx="26">
                  <c:v>45.27296937416778</c:v>
                </c:pt>
                <c:pt idx="27">
                  <c:v>43.942247332077834</c:v>
                </c:pt>
                <c:pt idx="28">
                  <c:v>42.75534441805225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CruiseCalcs!$F$10</c:f>
              <c:strCache>
                <c:ptCount val="1"/>
                <c:pt idx="0">
                  <c:v>-4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CruiseCalcs!$F$11:$F$39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64.28571428571429</c:v>
                </c:pt>
                <c:pt idx="11">
                  <c:v>66.90140845070422</c:v>
                </c:pt>
                <c:pt idx="12">
                  <c:v>69.44444444444444</c:v>
                </c:pt>
                <c:pt idx="13">
                  <c:v>71.3678844519966</c:v>
                </c:pt>
                <c:pt idx="14">
                  <c:v>73.21131447587355</c:v>
                </c:pt>
                <c:pt idx="15">
                  <c:v>74.37348423605498</c:v>
                </c:pt>
                <c:pt idx="16">
                  <c:v>75.47169811320754</c:v>
                </c:pt>
                <c:pt idx="17">
                  <c:v>75.93014426727412</c:v>
                </c:pt>
                <c:pt idx="18">
                  <c:v>76.35829662261379</c:v>
                </c:pt>
                <c:pt idx="19">
                  <c:v>76.3250883392226</c:v>
                </c:pt>
                <c:pt idx="20">
                  <c:v>76.29427792915531</c:v>
                </c:pt>
                <c:pt idx="21">
                  <c:v>75.76747224036578</c:v>
                </c:pt>
                <c:pt idx="22">
                  <c:v>75.28230865746549</c:v>
                </c:pt>
                <c:pt idx="23">
                  <c:v>74.38512297540491</c:v>
                </c:pt>
                <c:pt idx="24">
                  <c:v>73.56321839080461</c:v>
                </c:pt>
                <c:pt idx="25">
                  <c:v>72.48764415156508</c:v>
                </c:pt>
                <c:pt idx="26">
                  <c:v>71.5036803364879</c:v>
                </c:pt>
                <c:pt idx="27">
                  <c:v>70.24586051179126</c:v>
                </c:pt>
                <c:pt idx="28">
                  <c:v>69.0978886756238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CruiseCalcs!$G$10</c:f>
              <c:strCache>
                <c:ptCount val="1"/>
                <c:pt idx="0">
                  <c:v>-6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CruiseCalcs!$G$11:$G$39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71.05263157894738</c:v>
                </c:pt>
                <c:pt idx="11">
                  <c:v>74.21875</c:v>
                </c:pt>
                <c:pt idx="12">
                  <c:v>77.31958762886597</c:v>
                </c:pt>
                <c:pt idx="13">
                  <c:v>79.89854153455929</c:v>
                </c:pt>
                <c:pt idx="14">
                  <c:v>82.39700374531836</c:v>
                </c:pt>
                <c:pt idx="15">
                  <c:v>84.30054978619427</c:v>
                </c:pt>
                <c:pt idx="16">
                  <c:v>86.12440191387559</c:v>
                </c:pt>
                <c:pt idx="17">
                  <c:v>87.361677344205</c:v>
                </c:pt>
                <c:pt idx="18">
                  <c:v>88.53575482406357</c:v>
                </c:pt>
                <c:pt idx="19">
                  <c:v>89.25619834710741</c:v>
                </c:pt>
                <c:pt idx="20">
                  <c:v>89.93576017130621</c:v>
                </c:pt>
                <c:pt idx="21">
                  <c:v>90.10875194199895</c:v>
                </c:pt>
                <c:pt idx="22">
                  <c:v>90.27081243731193</c:v>
                </c:pt>
                <c:pt idx="23">
                  <c:v>89.9854862119013</c:v>
                </c:pt>
                <c:pt idx="24">
                  <c:v>89.71962616822431</c:v>
                </c:pt>
                <c:pt idx="25">
                  <c:v>89.14903196758216</c:v>
                </c:pt>
                <c:pt idx="26">
                  <c:v>88.61859252823632</c:v>
                </c:pt>
                <c:pt idx="27">
                  <c:v>87.75595486836606</c:v>
                </c:pt>
                <c:pt idx="28">
                  <c:v>86.95652173913042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CruiseCalcs!$H$10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CruiseCalcs!$H$11:$H$39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75</c:v>
                </c:pt>
                <c:pt idx="11">
                  <c:v>78.51239669421489</c:v>
                </c:pt>
                <c:pt idx="12">
                  <c:v>81.96721311475409</c:v>
                </c:pt>
                <c:pt idx="13">
                  <c:v>84.97723823975721</c:v>
                </c:pt>
                <c:pt idx="14">
                  <c:v>87.91208791208791</c:v>
                </c:pt>
                <c:pt idx="15">
                  <c:v>90.32891507118312</c:v>
                </c:pt>
                <c:pt idx="16">
                  <c:v>92.66409266409266</c:v>
                </c:pt>
                <c:pt idx="17">
                  <c:v>94.4733112895607</c:v>
                </c:pt>
                <c:pt idx="18">
                  <c:v>96.20721554116558</c:v>
                </c:pt>
                <c:pt idx="19">
                  <c:v>97.51693002257336</c:v>
                </c:pt>
                <c:pt idx="20">
                  <c:v>98.76543209876543</c:v>
                </c:pt>
                <c:pt idx="21">
                  <c:v>99.52809952809952</c:v>
                </c:pt>
                <c:pt idx="22">
                  <c:v>100.25062656641603</c:v>
                </c:pt>
                <c:pt idx="23">
                  <c:v>100.52695581678151</c:v>
                </c:pt>
                <c:pt idx="24">
                  <c:v>100.78740157480314</c:v>
                </c:pt>
                <c:pt idx="25">
                  <c:v>100.7249141549027</c:v>
                </c:pt>
                <c:pt idx="26">
                  <c:v>100.66617320503332</c:v>
                </c:pt>
                <c:pt idx="27">
                  <c:v>100.25062656641605</c:v>
                </c:pt>
                <c:pt idx="28">
                  <c:v>99.86130374479889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CruiseCalcs!$I$10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CruiseCalcs!$I$11:$I$39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77.58620689655173</c:v>
                </c:pt>
                <c:pt idx="11">
                  <c:v>81.33561643835618</c:v>
                </c:pt>
                <c:pt idx="12">
                  <c:v>85.03401360544218</c:v>
                </c:pt>
                <c:pt idx="13">
                  <c:v>88.34665544804376</c:v>
                </c:pt>
                <c:pt idx="14">
                  <c:v>91.5903413821815</c:v>
                </c:pt>
                <c:pt idx="15">
                  <c:v>94.37833401723432</c:v>
                </c:pt>
                <c:pt idx="16">
                  <c:v>97.08737864077669</c:v>
                </c:pt>
                <c:pt idx="17">
                  <c:v>99.32459276916967</c:v>
                </c:pt>
                <c:pt idx="18">
                  <c:v>101.48321623731458</c:v>
                </c:pt>
                <c:pt idx="19">
                  <c:v>103.25047801147225</c:v>
                </c:pt>
                <c:pt idx="20">
                  <c:v>104.94752623688156</c:v>
                </c:pt>
                <c:pt idx="21">
                  <c:v>106.18820944708898</c:v>
                </c:pt>
                <c:pt idx="22">
                  <c:v>107.3729420186113</c:v>
                </c:pt>
                <c:pt idx="23">
                  <c:v>108.12696198116498</c:v>
                </c:pt>
                <c:pt idx="24">
                  <c:v>108.84353741496598</c:v>
                </c:pt>
                <c:pt idx="25">
                  <c:v>109.23535253227409</c:v>
                </c:pt>
                <c:pt idx="26">
                  <c:v>109.6067053513862</c:v>
                </c:pt>
                <c:pt idx="27">
                  <c:v>109.61478233636078</c:v>
                </c:pt>
                <c:pt idx="28">
                  <c:v>109.62241169305726</c:v>
                </c:pt>
              </c:numCache>
            </c:numRef>
          </c:yVal>
          <c:smooth val="0"/>
        </c:ser>
        <c:axId val="45764749"/>
        <c:axId val="9229558"/>
      </c:scatterChart>
      <c:valAx>
        <c:axId val="45764749"/>
        <c:scaling>
          <c:orientation val="minMax"/>
          <c:max val="11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between thermals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229558"/>
        <c:crosses val="autoZero"/>
        <c:crossBetween val="midCat"/>
        <c:dispUnits/>
        <c:majorUnit val="10"/>
        <c:minorUnit val="5"/>
      </c:val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Average cross country speed (kph)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76474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609"/>
          <c:w val="0.06525"/>
          <c:h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L/D ratio for different expected climb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0965"/>
          <c:w val="0.57475"/>
          <c:h val="0.796"/>
        </c:manualLayout>
      </c:layout>
      <c:scatterChart>
        <c:scatterStyle val="lineMarker"/>
        <c:varyColors val="1"/>
        <c:ser>
          <c:idx val="0"/>
          <c:order val="0"/>
          <c:tx>
            <c:strRef>
              <c:f>CruiseCalcs!$J$10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CruiseCalcs!$J$11:$J$39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CruiseCalcs!$K$10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CruiseCalcs!$K$11:$K$39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CruiseCalcs!$L$10</c:f>
              <c:strCache>
                <c:ptCount val="1"/>
                <c:pt idx="0">
                  <c:v>-4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CruiseCalcs!$L$11:$L$39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CruiseCalcs!$M$10</c:f>
              <c:strCache>
                <c:ptCount val="1"/>
                <c:pt idx="0">
                  <c:v>-6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CruiseCalcs!$M$11:$M$39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CruiseCalcs!$N$10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CruiseCalcs!$N$11:$N$39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CruiseCalcs!$O$10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CruiseCalcs!$O$11:$O$39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30.353165147119768</c:v>
                </c:pt>
                <c:pt idx="11">
                  <c:v>30.513763904511936</c:v>
                </c:pt>
                <c:pt idx="12">
                  <c:v>30.65976277486845</c:v>
                </c:pt>
                <c:pt idx="13">
                  <c:v>30.057953107669448</c:v>
                </c:pt>
                <c:pt idx="14">
                  <c:v>29.530995389127032</c:v>
                </c:pt>
                <c:pt idx="15">
                  <c:v>28.400622359878152</c:v>
                </c:pt>
                <c:pt idx="16">
                  <c:v>27.437889398526345</c:v>
                </c:pt>
                <c:pt idx="17">
                  <c:v>26.093415127547622</c:v>
                </c:pt>
                <c:pt idx="18">
                  <c:v>24.96424812416335</c:v>
                </c:pt>
                <c:pt idx="19">
                  <c:v>23.6902752367764</c:v>
                </c:pt>
                <c:pt idx="20">
                  <c:v>22.618459723735292</c:v>
                </c:pt>
                <c:pt idx="21">
                  <c:v>21.407309056488177</c:v>
                </c:pt>
                <c:pt idx="22">
                  <c:v>20.38835610217952</c:v>
                </c:pt>
                <c:pt idx="23">
                  <c:v>19.29407908877535</c:v>
                </c:pt>
                <c:pt idx="24">
                  <c:v>18.369764249793523</c:v>
                </c:pt>
                <c:pt idx="25">
                  <c:v>17.440930675458958</c:v>
                </c:pt>
                <c:pt idx="26">
                  <c:v>16.64864069372167</c:v>
                </c:pt>
                <c:pt idx="27">
                  <c:v>15.831025875372143</c:v>
                </c:pt>
                <c:pt idx="28">
                  <c:v>15.129303500122004</c:v>
                </c:pt>
              </c:numCache>
            </c:numRef>
          </c:yVal>
          <c:smooth val="0"/>
        </c:ser>
        <c:axId val="15957159"/>
        <c:axId val="9396704"/>
      </c:scatterChart>
      <c:valAx>
        <c:axId val="15957159"/>
        <c:scaling>
          <c:orientation val="minMax"/>
          <c:max val="11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between thermals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396704"/>
        <c:crosses val="autoZero"/>
        <c:crossBetween val="midCat"/>
        <c:dispUnits/>
        <c:majorUnit val="10"/>
        <c:minorUnit val="5"/>
      </c:valAx>
      <c:valAx>
        <c:axId val="939670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L/D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95715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56375"/>
          <c:w val="0.05525"/>
          <c:h val="0.2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65"/>
          <c:w val="0.9655"/>
          <c:h val="0.9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BestSpeed!$A$26</c:f>
              <c:strCache>
                <c:ptCount val="1"/>
                <c:pt idx="0">
                  <c:v>time to climb BC (mins)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BestSpeed!$B$20:$J$20</c:f>
              <c:num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BestSpeed!$B$26:$J$26</c:f>
              <c:numCache>
                <c:ptCount val="9"/>
                <c:pt idx="0">
                  <c:v>4.027919407894737</c:v>
                </c:pt>
                <c:pt idx="1">
                  <c:v>4.034333881578948</c:v>
                </c:pt>
                <c:pt idx="2">
                  <c:v>4.207277960526316</c:v>
                </c:pt>
                <c:pt idx="3">
                  <c:v>4.508264802631579</c:v>
                </c:pt>
                <c:pt idx="4">
                  <c:v>4.909909539473684</c:v>
                </c:pt>
                <c:pt idx="5">
                  <c:v>5.3919819078947375</c:v>
                </c:pt>
                <c:pt idx="6">
                  <c:v>5.939555921052632</c:v>
                </c:pt>
                <c:pt idx="7">
                  <c:v>6.541036184210527</c:v>
                </c:pt>
                <c:pt idx="8">
                  <c:v>7.187294407894737</c:v>
                </c:pt>
              </c:numCache>
            </c:numRef>
          </c:val>
        </c:ser>
        <c:ser>
          <c:idx val="0"/>
          <c:order val="1"/>
          <c:tx>
            <c:strRef>
              <c:f>BestSpeed!$A$23</c:f>
              <c:strCache>
                <c:ptCount val="1"/>
                <c:pt idx="0">
                  <c:v>time to fly AB (mins)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BestSpeed!$B$20:$J$20</c:f>
              <c:numCach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BestSpeed!$B$23:$J$23</c:f>
              <c:numCache>
                <c:ptCount val="9"/>
                <c:pt idx="0">
                  <c:v>19.736842105263158</c:v>
                </c:pt>
                <c:pt idx="1">
                  <c:v>17.942583732057415</c:v>
                </c:pt>
                <c:pt idx="2">
                  <c:v>16.44736842105263</c:v>
                </c:pt>
                <c:pt idx="3">
                  <c:v>15.182186234817813</c:v>
                </c:pt>
                <c:pt idx="4">
                  <c:v>14.097744360902254</c:v>
                </c:pt>
                <c:pt idx="5">
                  <c:v>13.157894736842104</c:v>
                </c:pt>
                <c:pt idx="6">
                  <c:v>12.335526315789473</c:v>
                </c:pt>
                <c:pt idx="7">
                  <c:v>11.609907120743033</c:v>
                </c:pt>
                <c:pt idx="8">
                  <c:v>10.964912280701753</c:v>
                </c:pt>
              </c:numCache>
            </c:numRef>
          </c:val>
        </c:ser>
        <c:overlap val="100"/>
        <c:serLines/>
        <c:axId val="17461473"/>
        <c:axId val="22935530"/>
      </c:barChart>
      <c:cat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Speed between thermals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35530"/>
        <c:crosses val="autoZero"/>
        <c:auto val="0"/>
        <c:lblOffset val="100"/>
        <c:noMultiLvlLbl val="0"/>
      </c:cat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/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461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"/>
          <c:y val="0.0295"/>
          <c:w val="0.409"/>
          <c:h val="0.0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5"/>
          <c:w val="0.993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BestSpeed!$A$29</c:f>
              <c:strCache>
                <c:ptCount val="1"/>
                <c:pt idx="0">
                  <c:v>% extra time in cruise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>
                <c:ptCount val="1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</c:numCache>
            </c:numRef>
          </c:cat>
          <c:val>
            <c:numRef>
              <c:f>BestSpeed!$B$29:$N$29</c:f>
              <c:numCache>
                <c:ptCount val="13"/>
                <c:pt idx="0">
                  <c:v>1.2000000000000002</c:v>
                </c:pt>
                <c:pt idx="1">
                  <c:v>1</c:v>
                </c:pt>
                <c:pt idx="2">
                  <c:v>0.8333333333333334</c:v>
                </c:pt>
                <c:pt idx="3">
                  <c:v>0.6923076923076924</c:v>
                </c:pt>
                <c:pt idx="4">
                  <c:v>0.5714285714285714</c:v>
                </c:pt>
                <c:pt idx="5">
                  <c:v>0.46666666666666673</c:v>
                </c:pt>
                <c:pt idx="6">
                  <c:v>0.375</c:v>
                </c:pt>
                <c:pt idx="7">
                  <c:v>0.29411764705882354</c:v>
                </c:pt>
                <c:pt idx="8">
                  <c:v>0.2222222222222222</c:v>
                </c:pt>
                <c:pt idx="9">
                  <c:v>0.15789473684210525</c:v>
                </c:pt>
                <c:pt idx="10">
                  <c:v>0.10000000000000007</c:v>
                </c:pt>
                <c:pt idx="11">
                  <c:v>0.047619047619047616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BestSpeed!$A$30</c:f>
              <c:strCache>
                <c:ptCount val="1"/>
                <c:pt idx="0">
                  <c:v>% extra time in climb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>
                <c:ptCount val="1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</c:numCache>
            </c:numRef>
          </c:cat>
          <c:val>
            <c:numRef>
              <c:f>BestSpeed!$B$30:$N$30</c:f>
              <c:numCache>
                <c:ptCount val="13"/>
                <c:pt idx="0">
                  <c:v>4.900009187517226</c:v>
                </c:pt>
                <c:pt idx="1">
                  <c:v>4.456146309819784</c:v>
                </c:pt>
                <c:pt idx="2">
                  <c:v>4.1278698230892505</c:v>
                </c:pt>
                <c:pt idx="3">
                  <c:v>3.8884918101529125</c:v>
                </c:pt>
                <c:pt idx="4">
                  <c:v>3.7189757230794798</c:v>
                </c:pt>
                <c:pt idx="5">
                  <c:v>3.6053246766504348</c:v>
                </c:pt>
                <c:pt idx="6">
                  <c:v>3.537102257066731</c:v>
                </c:pt>
                <c:pt idx="7">
                  <c:v>3.506282640456421</c:v>
                </c:pt>
                <c:pt idx="8">
                  <c:v>3.506596297090278</c:v>
                </c:pt>
                <c:pt idx="9">
                  <c:v>3.53316774311057</c:v>
                </c:pt>
                <c:pt idx="10">
                  <c:v>3.58202921630478</c:v>
                </c:pt>
                <c:pt idx="11">
                  <c:v>3.6500314271422587</c:v>
                </c:pt>
                <c:pt idx="12">
                  <c:v>3.7345197294972197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BestSpeed!$A$31</c:f>
              <c:strCache>
                <c:ptCount val="1"/>
                <c:pt idx="0">
                  <c:v>% extra time overall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>
                <c:ptCount val="1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</c:numCache>
            </c:numRef>
          </c:cat>
          <c:val>
            <c:numRef>
              <c:f>BestSpeed!$B$31:$N$31</c:f>
              <c:numCache>
                <c:ptCount val="13"/>
                <c:pt idx="0">
                  <c:v>0.309285204294163</c:v>
                </c:pt>
                <c:pt idx="1">
                  <c:v>0.21078652742189208</c:v>
                </c:pt>
                <c:pt idx="2">
                  <c:v>0.13793790408359113</c:v>
                </c:pt>
                <c:pt idx="3">
                  <c:v>0.08481695450371914</c:v>
                </c:pt>
                <c:pt idx="4">
                  <c:v>0.04719923262547867</c:v>
                </c:pt>
                <c:pt idx="5">
                  <c:v>0.021978656044526763</c:v>
                </c:pt>
                <c:pt idx="6">
                  <c:v>0.006839255117647968</c:v>
                </c:pt>
                <c:pt idx="7">
                  <c:v>0</c:v>
                </c:pt>
                <c:pt idx="8">
                  <c:v>6.960429668600108E-05</c:v>
                </c:pt>
                <c:pt idx="9">
                  <c:v>0.005966137679155028</c:v>
                </c:pt>
                <c:pt idx="10">
                  <c:v>0.016809104508519464</c:v>
                </c:pt>
                <c:pt idx="11">
                  <c:v>0.031899638383818305</c:v>
                </c:pt>
                <c:pt idx="12">
                  <c:v>0.050648640409666296</c:v>
                </c:pt>
              </c:numCache>
            </c:numRef>
          </c:val>
          <c:smooth val="0"/>
        </c:ser>
        <c:axId val="5093179"/>
        <c:axId val="45838612"/>
      </c:lineChart>
      <c:lineChart>
        <c:grouping val="standard"/>
        <c:varyColors val="0"/>
        <c:ser>
          <c:idx val="3"/>
          <c:order val="3"/>
          <c:tx>
            <c:strRef>
              <c:f>BestSpeed!$A$32</c:f>
              <c:strCache>
                <c:ptCount val="1"/>
                <c:pt idx="0">
                  <c:v>% reduction in cruise speed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>
                <c:ptCount val="13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</c:numCache>
            </c:numRef>
          </c:cat>
          <c:val>
            <c:numRef>
              <c:f>BestSpeed!$B$32:$N$32</c:f>
              <c:numCache>
                <c:ptCount val="13"/>
                <c:pt idx="0">
                  <c:v>-0.2362244706346459</c:v>
                </c:pt>
                <c:pt idx="1">
                  <c:v>-0.17409057884936696</c:v>
                </c:pt>
                <c:pt idx="2">
                  <c:v>-0.12121742635392375</c:v>
                </c:pt>
                <c:pt idx="3">
                  <c:v>-0.07818549862407066</c:v>
                </c:pt>
                <c:pt idx="4">
                  <c:v>-0.045071874725445916</c:v>
                </c:pt>
                <c:pt idx="5">
                  <c:v>-0.021505983431780274</c:v>
                </c:pt>
                <c:pt idx="6">
                  <c:v>-0.0067927974429729575</c:v>
                </c:pt>
                <c:pt idx="7">
                  <c:v>0</c:v>
                </c:pt>
                <c:pt idx="8">
                  <c:v>-6.959945226499541E-05</c:v>
                </c:pt>
                <c:pt idx="9">
                  <c:v>-0.005930753984343228</c:v>
                </c:pt>
                <c:pt idx="10">
                  <c:v>-0.016531229346775127</c:v>
                </c:pt>
                <c:pt idx="11">
                  <c:v>-0.03091350863711906</c:v>
                </c:pt>
                <c:pt idx="12">
                  <c:v>-0.04820702036973788</c:v>
                </c:pt>
              </c:numCache>
            </c:numRef>
          </c:val>
          <c:smooth val="0"/>
        </c:ser>
        <c:axId val="9894325"/>
        <c:axId val="2194006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38612"/>
        <c:crosses val="autoZero"/>
        <c:auto val="0"/>
        <c:lblOffset val="100"/>
        <c:noMultiLvlLbl val="0"/>
      </c:catAx>
      <c:valAx>
        <c:axId val="4583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3179"/>
        <c:crossesAt val="1"/>
        <c:crossBetween val="midCat"/>
        <c:dispUnits/>
      </c:valAx>
      <c:catAx>
        <c:axId val="9894325"/>
        <c:scaling>
          <c:orientation val="minMax"/>
        </c:scaling>
        <c:axPos val="b"/>
        <c:delete val="1"/>
        <c:majorTickMark val="in"/>
        <c:minorTickMark val="none"/>
        <c:tickLblPos val="nextTo"/>
        <c:crossAx val="21940062"/>
        <c:crosses val="autoZero"/>
        <c:auto val="0"/>
        <c:lblOffset val="100"/>
        <c:noMultiLvlLbl val="0"/>
      </c:catAx>
      <c:valAx>
        <c:axId val="21940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8943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2"/>
          <c:y val="0.22375"/>
          <c:w val="0.6275"/>
          <c:h val="0.1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-0.008</cdr:y>
    </cdr:from>
    <cdr:to>
      <cdr:x>0.96</cdr:x>
      <cdr:y>0.99225</cdr:y>
    </cdr:to>
    <cdr:graphicFrame>
      <cdr:nvGraphicFramePr>
        <cdr:cNvPr id="1" name="Chart 1"/>
        <cdr:cNvGraphicFramePr/>
      </cdr:nvGraphicFramePr>
      <cdr:xfrm>
        <a:off x="504825" y="-38099"/>
        <a:ext cx="8677275" cy="55530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0.545</cdr:x>
      <cdr:y>0.26475</cdr:y>
    </cdr:from>
    <cdr:to>
      <cdr:x>0.85025</cdr:x>
      <cdr:y>0.6685</cdr:y>
    </cdr:to>
    <cdr:sp>
      <cdr:nvSpPr>
        <cdr:cNvPr id="2" name="Line 7"/>
        <cdr:cNvSpPr>
          <a:spLocks/>
        </cdr:cNvSpPr>
      </cdr:nvSpPr>
      <cdr:spPr>
        <a:xfrm>
          <a:off x="5210175" y="1466850"/>
          <a:ext cx="2924175" cy="2238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53075"/>
    <xdr:graphicFrame>
      <xdr:nvGraphicFramePr>
        <xdr:cNvPr id="1" name="Shape 1025"/>
        <xdr:cNvGraphicFramePr/>
      </xdr:nvGraphicFramePr>
      <xdr:xfrm>
        <a:off x="0" y="0"/>
        <a:ext cx="95726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0</xdr:rowOff>
    </xdr:from>
    <xdr:to>
      <xdr:col>21</xdr:col>
      <xdr:colOff>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5153025" y="5572125"/>
        <a:ext cx="3505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5153025" y="3143250"/>
        <a:ext cx="3505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190500</xdr:rowOff>
    </xdr:from>
    <xdr:to>
      <xdr:col>11</xdr:col>
      <xdr:colOff>390525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228975" y="190500"/>
        <a:ext cx="6096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53075"/>
    <xdr:graphicFrame>
      <xdr:nvGraphicFramePr>
        <xdr:cNvPr id="1" name="Shape 1025"/>
        <xdr:cNvGraphicFramePr/>
      </xdr:nvGraphicFramePr>
      <xdr:xfrm>
        <a:off x="0" y="0"/>
        <a:ext cx="95726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53075"/>
    <xdr:graphicFrame>
      <xdr:nvGraphicFramePr>
        <xdr:cNvPr id="1" name="Shape 1025"/>
        <xdr:cNvGraphicFramePr/>
      </xdr:nvGraphicFramePr>
      <xdr:xfrm>
        <a:off x="0" y="0"/>
        <a:ext cx="95726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2</xdr:row>
      <xdr:rowOff>19050</xdr:rowOff>
    </xdr:from>
    <xdr:to>
      <xdr:col>2</xdr:col>
      <xdr:colOff>666750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162050" y="409575"/>
          <a:ext cx="242887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1152525</xdr:colOff>
      <xdr:row>2</xdr:row>
      <xdr:rowOff>28575</xdr:rowOff>
    </xdr:from>
    <xdr:to>
      <xdr:col>2</xdr:col>
      <xdr:colOff>676275</xdr:colOff>
      <xdr:row>10</xdr:row>
      <xdr:rowOff>28575</xdr:rowOff>
    </xdr:to>
    <xdr:sp>
      <xdr:nvSpPr>
        <xdr:cNvPr id="2" name="Line 2"/>
        <xdr:cNvSpPr>
          <a:spLocks/>
        </xdr:cNvSpPr>
      </xdr:nvSpPr>
      <xdr:spPr>
        <a:xfrm>
          <a:off x="1152525" y="419100"/>
          <a:ext cx="2447925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1143000</xdr:colOff>
      <xdr:row>2</xdr:row>
      <xdr:rowOff>28575</xdr:rowOff>
    </xdr:from>
    <xdr:to>
      <xdr:col>2</xdr:col>
      <xdr:colOff>666750</xdr:colOff>
      <xdr:row>12</xdr:row>
      <xdr:rowOff>28575</xdr:rowOff>
    </xdr:to>
    <xdr:sp>
      <xdr:nvSpPr>
        <xdr:cNvPr id="3" name="Line 3"/>
        <xdr:cNvSpPr>
          <a:spLocks/>
        </xdr:cNvSpPr>
      </xdr:nvSpPr>
      <xdr:spPr>
        <a:xfrm>
          <a:off x="1143000" y="419100"/>
          <a:ext cx="2447925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542925</xdr:colOff>
      <xdr:row>1</xdr:row>
      <xdr:rowOff>133350</xdr:rowOff>
    </xdr:from>
    <xdr:to>
      <xdr:col>3</xdr:col>
      <xdr:colOff>257175</xdr:colOff>
      <xdr:row>12</xdr:row>
      <xdr:rowOff>28575</xdr:rowOff>
    </xdr:to>
    <xdr:sp>
      <xdr:nvSpPr>
        <xdr:cNvPr id="4" name="Drawing 5"/>
        <xdr:cNvSpPr>
          <a:spLocks/>
        </xdr:cNvSpPr>
      </xdr:nvSpPr>
      <xdr:spPr>
        <a:xfrm>
          <a:off x="3467100" y="361950"/>
          <a:ext cx="409575" cy="1676400"/>
        </a:xfrm>
        <a:custGeom>
          <a:pathLst>
            <a:path h="16384" w="16384">
              <a:moveTo>
                <a:pt x="5605" y="16198"/>
              </a:moveTo>
              <a:lnTo>
                <a:pt x="6899" y="16198"/>
              </a:lnTo>
              <a:lnTo>
                <a:pt x="9485" y="16384"/>
              </a:lnTo>
              <a:lnTo>
                <a:pt x="13366" y="16384"/>
              </a:lnTo>
              <a:lnTo>
                <a:pt x="14228" y="16105"/>
              </a:lnTo>
              <a:lnTo>
                <a:pt x="15091" y="15546"/>
              </a:lnTo>
              <a:lnTo>
                <a:pt x="15091" y="14988"/>
              </a:lnTo>
              <a:lnTo>
                <a:pt x="13797" y="14708"/>
              </a:lnTo>
              <a:lnTo>
                <a:pt x="11210" y="14336"/>
              </a:lnTo>
              <a:lnTo>
                <a:pt x="7330" y="14057"/>
              </a:lnTo>
              <a:lnTo>
                <a:pt x="3018" y="14057"/>
              </a:lnTo>
              <a:lnTo>
                <a:pt x="2156" y="14336"/>
              </a:lnTo>
              <a:lnTo>
                <a:pt x="2587" y="14615"/>
              </a:lnTo>
              <a:lnTo>
                <a:pt x="3880" y="14708"/>
              </a:lnTo>
              <a:lnTo>
                <a:pt x="5174" y="14895"/>
              </a:lnTo>
              <a:lnTo>
                <a:pt x="12072" y="14895"/>
              </a:lnTo>
              <a:lnTo>
                <a:pt x="14659" y="14708"/>
              </a:lnTo>
              <a:lnTo>
                <a:pt x="16384" y="14150"/>
              </a:lnTo>
              <a:lnTo>
                <a:pt x="16384" y="13591"/>
              </a:lnTo>
              <a:lnTo>
                <a:pt x="15953" y="13312"/>
              </a:lnTo>
              <a:lnTo>
                <a:pt x="14659" y="13126"/>
              </a:lnTo>
              <a:lnTo>
                <a:pt x="12935" y="13033"/>
              </a:lnTo>
              <a:lnTo>
                <a:pt x="10348" y="12847"/>
              </a:lnTo>
              <a:lnTo>
                <a:pt x="3880" y="12847"/>
              </a:lnTo>
              <a:lnTo>
                <a:pt x="2587" y="12940"/>
              </a:lnTo>
              <a:lnTo>
                <a:pt x="1293" y="13126"/>
              </a:lnTo>
              <a:lnTo>
                <a:pt x="1293" y="13405"/>
              </a:lnTo>
              <a:lnTo>
                <a:pt x="2587" y="13591"/>
              </a:lnTo>
              <a:lnTo>
                <a:pt x="6899" y="13591"/>
              </a:lnTo>
              <a:lnTo>
                <a:pt x="8192" y="13405"/>
              </a:lnTo>
              <a:lnTo>
                <a:pt x="9485" y="13312"/>
              </a:lnTo>
              <a:lnTo>
                <a:pt x="10779" y="13033"/>
              </a:lnTo>
              <a:lnTo>
                <a:pt x="12072" y="12847"/>
              </a:lnTo>
              <a:lnTo>
                <a:pt x="12935" y="12474"/>
              </a:lnTo>
              <a:lnTo>
                <a:pt x="14228" y="12195"/>
              </a:lnTo>
              <a:lnTo>
                <a:pt x="15091" y="11636"/>
              </a:lnTo>
              <a:lnTo>
                <a:pt x="15091" y="11357"/>
              </a:lnTo>
              <a:lnTo>
                <a:pt x="13797" y="11078"/>
              </a:lnTo>
              <a:lnTo>
                <a:pt x="11210" y="10892"/>
              </a:lnTo>
              <a:lnTo>
                <a:pt x="9917" y="10892"/>
              </a:lnTo>
              <a:lnTo>
                <a:pt x="8623" y="10799"/>
              </a:lnTo>
              <a:lnTo>
                <a:pt x="2156" y="10799"/>
              </a:lnTo>
              <a:lnTo>
                <a:pt x="1293" y="11078"/>
              </a:lnTo>
              <a:lnTo>
                <a:pt x="1293" y="11357"/>
              </a:lnTo>
              <a:lnTo>
                <a:pt x="2587" y="11357"/>
              </a:lnTo>
              <a:lnTo>
                <a:pt x="3880" y="11450"/>
              </a:lnTo>
              <a:lnTo>
                <a:pt x="8192" y="11450"/>
              </a:lnTo>
              <a:lnTo>
                <a:pt x="10779" y="11264"/>
              </a:lnTo>
              <a:lnTo>
                <a:pt x="12072" y="11078"/>
              </a:lnTo>
              <a:lnTo>
                <a:pt x="12935" y="10799"/>
              </a:lnTo>
              <a:lnTo>
                <a:pt x="13797" y="10054"/>
              </a:lnTo>
              <a:lnTo>
                <a:pt x="13797" y="9216"/>
              </a:lnTo>
              <a:lnTo>
                <a:pt x="12504" y="8937"/>
              </a:lnTo>
              <a:lnTo>
                <a:pt x="8623" y="8378"/>
              </a:lnTo>
              <a:lnTo>
                <a:pt x="6036" y="8192"/>
              </a:lnTo>
              <a:lnTo>
                <a:pt x="4743" y="8192"/>
              </a:lnTo>
              <a:lnTo>
                <a:pt x="3018" y="8099"/>
              </a:lnTo>
              <a:lnTo>
                <a:pt x="1725" y="8099"/>
              </a:lnTo>
              <a:lnTo>
                <a:pt x="862" y="8378"/>
              </a:lnTo>
              <a:lnTo>
                <a:pt x="3449" y="8751"/>
              </a:lnTo>
              <a:lnTo>
                <a:pt x="4743" y="8844"/>
              </a:lnTo>
              <a:lnTo>
                <a:pt x="11641" y="8844"/>
              </a:lnTo>
              <a:lnTo>
                <a:pt x="12935" y="8751"/>
              </a:lnTo>
              <a:lnTo>
                <a:pt x="13797" y="8471"/>
              </a:lnTo>
              <a:lnTo>
                <a:pt x="14228" y="8192"/>
              </a:lnTo>
              <a:lnTo>
                <a:pt x="14228" y="7540"/>
              </a:lnTo>
              <a:lnTo>
                <a:pt x="13797" y="7261"/>
              </a:lnTo>
              <a:lnTo>
                <a:pt x="12935" y="6982"/>
              </a:lnTo>
              <a:lnTo>
                <a:pt x="11641" y="6703"/>
              </a:lnTo>
              <a:lnTo>
                <a:pt x="10348" y="6516"/>
              </a:lnTo>
              <a:lnTo>
                <a:pt x="7761" y="6330"/>
              </a:lnTo>
              <a:lnTo>
                <a:pt x="2156" y="6330"/>
              </a:lnTo>
              <a:lnTo>
                <a:pt x="862" y="6423"/>
              </a:lnTo>
              <a:lnTo>
                <a:pt x="0" y="6703"/>
              </a:lnTo>
              <a:lnTo>
                <a:pt x="1293" y="6796"/>
              </a:lnTo>
              <a:lnTo>
                <a:pt x="2587" y="6796"/>
              </a:lnTo>
              <a:lnTo>
                <a:pt x="3880" y="6889"/>
              </a:lnTo>
              <a:lnTo>
                <a:pt x="6467" y="6889"/>
              </a:lnTo>
              <a:lnTo>
                <a:pt x="7761" y="6796"/>
              </a:lnTo>
              <a:lnTo>
                <a:pt x="9054" y="6609"/>
              </a:lnTo>
              <a:lnTo>
                <a:pt x="9917" y="6330"/>
              </a:lnTo>
              <a:lnTo>
                <a:pt x="10779" y="5772"/>
              </a:lnTo>
              <a:lnTo>
                <a:pt x="11210" y="5399"/>
              </a:lnTo>
              <a:lnTo>
                <a:pt x="11641" y="5120"/>
              </a:lnTo>
              <a:lnTo>
                <a:pt x="11641" y="4561"/>
              </a:lnTo>
              <a:lnTo>
                <a:pt x="11210" y="4282"/>
              </a:lnTo>
              <a:lnTo>
                <a:pt x="9485" y="4096"/>
              </a:lnTo>
              <a:lnTo>
                <a:pt x="7761" y="3817"/>
              </a:lnTo>
              <a:lnTo>
                <a:pt x="6467" y="3631"/>
              </a:lnTo>
              <a:lnTo>
                <a:pt x="5174" y="3537"/>
              </a:lnTo>
              <a:lnTo>
                <a:pt x="2587" y="3537"/>
              </a:lnTo>
              <a:lnTo>
                <a:pt x="1725" y="3817"/>
              </a:lnTo>
              <a:lnTo>
                <a:pt x="1293" y="4096"/>
              </a:lnTo>
              <a:lnTo>
                <a:pt x="1293" y="4375"/>
              </a:lnTo>
              <a:lnTo>
                <a:pt x="2587" y="4655"/>
              </a:lnTo>
              <a:lnTo>
                <a:pt x="3880" y="4655"/>
              </a:lnTo>
              <a:lnTo>
                <a:pt x="5174" y="4748"/>
              </a:lnTo>
              <a:lnTo>
                <a:pt x="9054" y="4748"/>
              </a:lnTo>
              <a:lnTo>
                <a:pt x="10348" y="4655"/>
              </a:lnTo>
              <a:lnTo>
                <a:pt x="11641" y="4655"/>
              </a:lnTo>
              <a:lnTo>
                <a:pt x="13366" y="4096"/>
              </a:lnTo>
              <a:lnTo>
                <a:pt x="13797" y="3817"/>
              </a:lnTo>
              <a:lnTo>
                <a:pt x="13797" y="2979"/>
              </a:lnTo>
              <a:lnTo>
                <a:pt x="13366" y="2700"/>
              </a:lnTo>
              <a:lnTo>
                <a:pt x="12504" y="2420"/>
              </a:lnTo>
              <a:lnTo>
                <a:pt x="11210" y="2234"/>
              </a:lnTo>
              <a:lnTo>
                <a:pt x="9917" y="1955"/>
              </a:lnTo>
              <a:lnTo>
                <a:pt x="8623" y="1862"/>
              </a:lnTo>
              <a:lnTo>
                <a:pt x="7330" y="1676"/>
              </a:lnTo>
              <a:lnTo>
                <a:pt x="4743" y="1489"/>
              </a:lnTo>
              <a:lnTo>
                <a:pt x="2156" y="1489"/>
              </a:lnTo>
              <a:lnTo>
                <a:pt x="3018" y="1769"/>
              </a:lnTo>
              <a:lnTo>
                <a:pt x="4312" y="1769"/>
              </a:lnTo>
              <a:lnTo>
                <a:pt x="5605" y="1862"/>
              </a:lnTo>
              <a:lnTo>
                <a:pt x="9485" y="1862"/>
              </a:lnTo>
              <a:lnTo>
                <a:pt x="12072" y="1676"/>
              </a:lnTo>
              <a:lnTo>
                <a:pt x="13366" y="1489"/>
              </a:lnTo>
              <a:lnTo>
                <a:pt x="14659" y="1396"/>
              </a:lnTo>
              <a:lnTo>
                <a:pt x="15091" y="1117"/>
              </a:lnTo>
              <a:lnTo>
                <a:pt x="15091" y="838"/>
              </a:lnTo>
              <a:lnTo>
                <a:pt x="14228" y="559"/>
              </a:lnTo>
              <a:lnTo>
                <a:pt x="12935" y="465"/>
              </a:lnTo>
              <a:lnTo>
                <a:pt x="11641" y="279"/>
              </a:lnTo>
              <a:lnTo>
                <a:pt x="7761" y="0"/>
              </a:lnTo>
              <a:lnTo>
                <a:pt x="6467" y="0"/>
              </a:lnTo>
              <a:lnTo>
                <a:pt x="5605" y="27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5" name="Chart 11"/>
        <xdr:cNvGraphicFramePr/>
      </xdr:nvGraphicFramePr>
      <xdr:xfrm>
        <a:off x="5010150" y="0"/>
        <a:ext cx="2781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6" name="Chart 12"/>
        <xdr:cNvGraphicFramePr/>
      </xdr:nvGraphicFramePr>
      <xdr:xfrm>
        <a:off x="7791450" y="0"/>
        <a:ext cx="27813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workbookViewId="0" topLeftCell="A1">
      <selection activeCell="C33" sqref="C33"/>
    </sheetView>
  </sheetViews>
  <sheetFormatPr defaultColWidth="9.00390625" defaultRowHeight="12.75"/>
  <cols>
    <col min="2" max="2" width="9.125" style="33" customWidth="1"/>
    <col min="3" max="3" width="3.125" style="33" customWidth="1"/>
    <col min="4" max="4" width="10.875" style="0" customWidth="1"/>
  </cols>
  <sheetData>
    <row r="1" spans="1:19" ht="23.25">
      <c r="A1" s="35" t="s">
        <v>0</v>
      </c>
      <c r="S1" t="e">
        <f>INDEX(DataSheets,S2,1)</f>
        <v>#REF!</v>
      </c>
    </row>
    <row r="2" spans="18:19" ht="12.75">
      <c r="R2" t="e">
        <f ca="1">RIGHT(CELL("filename",#REF!),LEN(CELL("filename",#REF!))-FIND("]",CELL("filename",#REF!)))</f>
        <v>#REF!</v>
      </c>
      <c r="S2">
        <v>1</v>
      </c>
    </row>
    <row r="3" spans="2:10" ht="12.75">
      <c r="B3" s="33" t="s">
        <v>1</v>
      </c>
      <c r="D3" t="s">
        <v>2</v>
      </c>
      <c r="J3" t="s">
        <v>3</v>
      </c>
    </row>
    <row r="4" spans="2:10" ht="12.75">
      <c r="B4" s="33" t="s">
        <v>4</v>
      </c>
      <c r="D4" t="s">
        <v>5</v>
      </c>
      <c r="J4" t="s">
        <v>6</v>
      </c>
    </row>
    <row r="5" spans="2:7" ht="12.75">
      <c r="B5" s="33" t="s">
        <v>7</v>
      </c>
      <c r="D5" t="s">
        <v>8</v>
      </c>
      <c r="G5" t="s">
        <v>9</v>
      </c>
    </row>
    <row r="6" spans="2:4" ht="12.75">
      <c r="B6" s="33" t="s">
        <v>10</v>
      </c>
      <c r="D6" t="s">
        <v>11</v>
      </c>
    </row>
    <row r="7" ht="12.75">
      <c r="B7" s="33" t="s">
        <v>12</v>
      </c>
    </row>
    <row r="8" spans="2:9" ht="12.75">
      <c r="B8" s="33">
        <v>1</v>
      </c>
      <c r="D8" t="s">
        <v>13</v>
      </c>
      <c r="I8" s="39" t="s">
        <v>14</v>
      </c>
    </row>
    <row r="9" spans="2:9" ht="12.75">
      <c r="B9" s="33">
        <v>2</v>
      </c>
      <c r="D9" t="s">
        <v>15</v>
      </c>
      <c r="I9" s="39" t="s">
        <v>16</v>
      </c>
    </row>
    <row r="10" ht="12.75">
      <c r="I10" s="39" t="s">
        <v>17</v>
      </c>
    </row>
    <row r="11" spans="2:9" ht="12.75">
      <c r="B11" s="33" t="s">
        <v>18</v>
      </c>
      <c r="D11" s="31" t="s">
        <v>19</v>
      </c>
      <c r="E11" s="31" t="s">
        <v>20</v>
      </c>
      <c r="I11" s="39" t="s">
        <v>21</v>
      </c>
    </row>
    <row r="12" spans="2:5" ht="12.75">
      <c r="B12" s="33">
        <v>1</v>
      </c>
      <c r="D12" t="s">
        <v>18</v>
      </c>
      <c r="E12" t="s">
        <v>22</v>
      </c>
    </row>
    <row r="13" spans="2:5" ht="12.75">
      <c r="B13" s="33">
        <v>2</v>
      </c>
      <c r="D13" t="s">
        <v>23</v>
      </c>
      <c r="E13" t="s">
        <v>24</v>
      </c>
    </row>
    <row r="14" spans="2:5" ht="12.75">
      <c r="B14" s="33">
        <v>3</v>
      </c>
      <c r="D14" t="s">
        <v>25</v>
      </c>
      <c r="E14" t="s">
        <v>26</v>
      </c>
    </row>
    <row r="15" spans="2:5" ht="12.75">
      <c r="B15" s="33">
        <v>4</v>
      </c>
      <c r="D15" t="s">
        <v>27</v>
      </c>
      <c r="E15" t="s">
        <v>28</v>
      </c>
    </row>
    <row r="16" spans="2:5" ht="12.75">
      <c r="B16" s="33">
        <v>5</v>
      </c>
      <c r="D16" t="s">
        <v>29</v>
      </c>
      <c r="E16" t="s">
        <v>30</v>
      </c>
    </row>
    <row r="17" spans="2:5" ht="12.75">
      <c r="B17" s="33">
        <v>6</v>
      </c>
      <c r="D17" t="s">
        <v>31</v>
      </c>
      <c r="E17" t="s">
        <v>32</v>
      </c>
    </row>
    <row r="18" spans="2:5" ht="12.75">
      <c r="B18" s="33">
        <v>7</v>
      </c>
      <c r="D18" t="s">
        <v>33</v>
      </c>
      <c r="E18" t="s">
        <v>34</v>
      </c>
    </row>
    <row r="19" spans="2:5" ht="12.75">
      <c r="B19" s="33">
        <v>8</v>
      </c>
      <c r="D19" t="s">
        <v>35</v>
      </c>
      <c r="E19" t="s">
        <v>36</v>
      </c>
    </row>
    <row r="20" spans="2:5" ht="12.75">
      <c r="B20" s="33">
        <v>9</v>
      </c>
      <c r="D20" t="s">
        <v>37</v>
      </c>
      <c r="E20" t="s">
        <v>38</v>
      </c>
    </row>
    <row r="21" spans="2:5" ht="12.75">
      <c r="B21" s="33">
        <v>10</v>
      </c>
      <c r="D21" t="s">
        <v>39</v>
      </c>
      <c r="E21" t="s">
        <v>40</v>
      </c>
    </row>
    <row r="22" spans="2:5" ht="12.75">
      <c r="B22" s="33">
        <v>11</v>
      </c>
      <c r="D22" t="s">
        <v>41</v>
      </c>
      <c r="E22" t="s">
        <v>42</v>
      </c>
    </row>
    <row r="23" spans="2:5" ht="12.75">
      <c r="B23" s="33">
        <v>12</v>
      </c>
      <c r="D23" t="s">
        <v>43</v>
      </c>
      <c r="E23" t="s">
        <v>44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A1">
      <selection activeCell="C12" sqref="C12"/>
    </sheetView>
  </sheetViews>
  <sheetFormatPr defaultColWidth="9.00390625" defaultRowHeight="12.75"/>
  <sheetData>
    <row r="1" ht="12.75">
      <c r="B1" s="31" t="s">
        <v>45</v>
      </c>
    </row>
    <row r="3" ht="12.75">
      <c r="B3" s="31" t="s">
        <v>46</v>
      </c>
    </row>
    <row r="4" spans="2:3" ht="12.75">
      <c r="B4">
        <v>1</v>
      </c>
      <c r="C4" t="s">
        <v>47</v>
      </c>
    </row>
    <row r="5" spans="2:3" ht="12.75">
      <c r="B5">
        <v>2</v>
      </c>
      <c r="C5" t="s">
        <v>48</v>
      </c>
    </row>
    <row r="6" spans="2:3" ht="12.75">
      <c r="B6">
        <v>3</v>
      </c>
      <c r="C6" t="s">
        <v>49</v>
      </c>
    </row>
    <row r="7" spans="2:3" ht="12.75">
      <c r="B7">
        <v>4</v>
      </c>
      <c r="C7" t="s">
        <v>50</v>
      </c>
    </row>
    <row r="9" ht="12.75">
      <c r="B9" s="31" t="s">
        <v>51</v>
      </c>
    </row>
    <row r="10" spans="2:3" ht="12.75">
      <c r="B10">
        <v>1</v>
      </c>
      <c r="C10" t="s">
        <v>52</v>
      </c>
    </row>
    <row r="11" spans="2:3" ht="12.75">
      <c r="B11">
        <v>2</v>
      </c>
      <c r="C11" t="s">
        <v>53</v>
      </c>
    </row>
    <row r="12" spans="1:20" ht="12.75">
      <c r="A12" s="81" t="s">
        <v>54</v>
      </c>
      <c r="B12" s="81" t="s">
        <v>55</v>
      </c>
      <c r="C12" s="82" t="s">
        <v>56</v>
      </c>
      <c r="D12" s="82" t="s">
        <v>57</v>
      </c>
      <c r="E12" s="82" t="s">
        <v>58</v>
      </c>
      <c r="F12" s="82" t="s">
        <v>59</v>
      </c>
      <c r="G12" s="83">
        <v>0</v>
      </c>
      <c r="H12" s="83">
        <v>20</v>
      </c>
      <c r="I12" s="83">
        <v>40</v>
      </c>
      <c r="J12" s="83">
        <v>50</v>
      </c>
      <c r="K12" s="83">
        <v>60</v>
      </c>
      <c r="L12" s="83">
        <v>65</v>
      </c>
      <c r="M12" s="83">
        <v>70</v>
      </c>
      <c r="N12" s="83">
        <v>75</v>
      </c>
      <c r="O12" s="83">
        <v>80</v>
      </c>
      <c r="P12" s="83">
        <v>85</v>
      </c>
      <c r="Q12" s="83">
        <v>90</v>
      </c>
      <c r="R12" s="83">
        <v>95</v>
      </c>
      <c r="S12" s="83">
        <v>100</v>
      </c>
      <c r="T12" s="83">
        <v>105</v>
      </c>
    </row>
    <row r="13" spans="1:20" s="101" customFormat="1" ht="12.75">
      <c r="A13" s="99"/>
      <c r="B13" s="99"/>
      <c r="C13" s="99"/>
      <c r="D13" s="99"/>
      <c r="E13" s="99"/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s="101" customFormat="1" ht="12.75">
      <c r="A14" s="102" t="s">
        <v>60</v>
      </c>
      <c r="B14" s="99"/>
      <c r="C14" s="99"/>
      <c r="D14" s="99"/>
      <c r="E14" s="99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ht="12.75">
      <c r="B15" t="s">
        <v>61</v>
      </c>
    </row>
    <row r="16" ht="12.75">
      <c r="C16" t="s">
        <v>62</v>
      </c>
    </row>
    <row r="17" ht="12.75">
      <c r="D17" t="s">
        <v>63</v>
      </c>
    </row>
    <row r="18" ht="12.75">
      <c r="E18" t="s">
        <v>64</v>
      </c>
    </row>
    <row r="19" ht="12.75">
      <c r="F19" t="s">
        <v>65</v>
      </c>
    </row>
    <row r="20" spans="3:7" ht="12.75">
      <c r="C20" s="98" t="s">
        <v>66</v>
      </c>
      <c r="G20" t="s">
        <v>67</v>
      </c>
    </row>
    <row r="21" spans="3:8" ht="12.75">
      <c r="C21" s="98" t="s">
        <v>68</v>
      </c>
      <c r="H21" t="s">
        <v>69</v>
      </c>
    </row>
    <row r="22" ht="12.75">
      <c r="C22" s="98" t="s">
        <v>70</v>
      </c>
    </row>
    <row r="23" ht="12.75">
      <c r="C23" s="40" t="s">
        <v>71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1"/>
  <sheetViews>
    <sheetView zoomScale="75" zoomScaleNormal="75" workbookViewId="0" topLeftCell="A1">
      <pane ySplit="960" topLeftCell="BM1" activePane="bottomLeft" state="split"/>
      <selection pane="topLeft" activeCell="A4" sqref="A4"/>
      <selection pane="bottomLeft" activeCell="A12" sqref="A12"/>
    </sheetView>
  </sheetViews>
  <sheetFormatPr defaultColWidth="9.00390625" defaultRowHeight="12.75"/>
  <cols>
    <col min="1" max="1" width="27.625" style="90" customWidth="1"/>
    <col min="2" max="2" width="16.375" style="96" customWidth="1"/>
    <col min="3" max="3" width="8.625" style="90" customWidth="1"/>
    <col min="4" max="4" width="7.00390625" style="90" customWidth="1"/>
    <col min="5" max="5" width="5.625" style="88" customWidth="1"/>
    <col min="6" max="6" width="5.875" style="90" customWidth="1"/>
    <col min="7" max="12" width="5.25390625" style="90" customWidth="1"/>
    <col min="13" max="36" width="4.25390625" style="90" customWidth="1"/>
    <col min="37" max="37" width="4.625" style="90" customWidth="1"/>
    <col min="38" max="39" width="4.25390625" style="90" customWidth="1"/>
    <col min="40" max="16384" width="9.125" style="90" customWidth="1"/>
  </cols>
  <sheetData>
    <row r="1" spans="1:54" s="86" customFormat="1" ht="12.75">
      <c r="A1" s="81" t="s">
        <v>54</v>
      </c>
      <c r="B1" s="81" t="s">
        <v>55</v>
      </c>
      <c r="C1" s="82" t="s">
        <v>56</v>
      </c>
      <c r="D1" s="82" t="s">
        <v>57</v>
      </c>
      <c r="E1" s="82" t="s">
        <v>58</v>
      </c>
      <c r="F1" s="82" t="s">
        <v>59</v>
      </c>
      <c r="G1" s="83">
        <v>0</v>
      </c>
      <c r="H1" s="83">
        <v>20</v>
      </c>
      <c r="I1" s="83">
        <v>40</v>
      </c>
      <c r="J1" s="83">
        <v>50</v>
      </c>
      <c r="K1" s="83">
        <v>60</v>
      </c>
      <c r="L1" s="83">
        <v>65</v>
      </c>
      <c r="M1" s="83">
        <v>70</v>
      </c>
      <c r="N1" s="83">
        <v>75</v>
      </c>
      <c r="O1" s="83">
        <v>80</v>
      </c>
      <c r="P1" s="83">
        <v>85</v>
      </c>
      <c r="Q1" s="83">
        <v>90</v>
      </c>
      <c r="R1" s="83">
        <v>95</v>
      </c>
      <c r="S1" s="83">
        <v>100</v>
      </c>
      <c r="T1" s="83">
        <v>105</v>
      </c>
      <c r="U1" s="83">
        <v>110</v>
      </c>
      <c r="V1" s="83">
        <v>115</v>
      </c>
      <c r="W1" s="83">
        <v>120</v>
      </c>
      <c r="X1" s="83">
        <v>125</v>
      </c>
      <c r="Y1" s="83">
        <v>130</v>
      </c>
      <c r="Z1" s="83">
        <v>135</v>
      </c>
      <c r="AA1" s="83">
        <v>140</v>
      </c>
      <c r="AB1" s="83">
        <v>145</v>
      </c>
      <c r="AC1" s="83">
        <v>150</v>
      </c>
      <c r="AD1" s="83">
        <v>155</v>
      </c>
      <c r="AE1" s="83">
        <v>160</v>
      </c>
      <c r="AF1" s="83">
        <v>165</v>
      </c>
      <c r="AG1" s="83">
        <v>170</v>
      </c>
      <c r="AH1" s="83">
        <v>175</v>
      </c>
      <c r="AI1" s="83">
        <v>180</v>
      </c>
      <c r="AJ1" s="83">
        <v>185</v>
      </c>
      <c r="AK1" s="83">
        <v>190</v>
      </c>
      <c r="AL1" s="83">
        <v>195</v>
      </c>
      <c r="AM1" s="83">
        <v>200</v>
      </c>
      <c r="AN1" s="84"/>
      <c r="AO1" s="84"/>
      <c r="AP1" s="84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4" ht="12.75">
      <c r="A2" s="90" t="str">
        <f>B2&amp;"  ["&amp;D2&amp;"] ("&amp;E2&amp;")"</f>
        <v>ASH 25e  [DJ] (43)</v>
      </c>
      <c r="B2" s="87" t="s">
        <v>72</v>
      </c>
      <c r="C2" s="88"/>
      <c r="D2" s="92" t="s">
        <v>73</v>
      </c>
      <c r="E2" s="88">
        <v>43</v>
      </c>
      <c r="F2" s="88" t="s">
        <v>74</v>
      </c>
      <c r="G2" s="89"/>
      <c r="H2" s="88"/>
      <c r="I2" s="89"/>
      <c r="J2" s="88"/>
      <c r="K2" s="89"/>
      <c r="L2" s="88"/>
      <c r="M2" s="89"/>
      <c r="N2" s="88"/>
      <c r="O2" s="89">
        <v>0.62</v>
      </c>
      <c r="P2" s="88">
        <v>0.46</v>
      </c>
      <c r="Q2" s="89">
        <v>0.46</v>
      </c>
      <c r="R2" s="88">
        <v>0.47</v>
      </c>
      <c r="S2" s="89">
        <v>0.49</v>
      </c>
      <c r="T2" s="88">
        <v>0.53</v>
      </c>
      <c r="U2" s="89">
        <v>0.56</v>
      </c>
      <c r="V2" s="88">
        <v>0.61</v>
      </c>
      <c r="W2" s="89">
        <v>0.66</v>
      </c>
      <c r="X2" s="88">
        <v>0.72</v>
      </c>
      <c r="Y2" s="89">
        <v>0.77</v>
      </c>
      <c r="Z2" s="88">
        <v>0.85</v>
      </c>
      <c r="AA2" s="89">
        <v>0.9</v>
      </c>
      <c r="AB2" s="88">
        <v>1</v>
      </c>
      <c r="AC2" s="89">
        <v>1.08</v>
      </c>
      <c r="AD2" s="88">
        <v>1.15</v>
      </c>
      <c r="AE2" s="89">
        <v>1.24</v>
      </c>
      <c r="AF2" s="88">
        <v>1.33</v>
      </c>
      <c r="AG2" s="89">
        <v>1.43</v>
      </c>
      <c r="AH2" s="88">
        <v>1.49</v>
      </c>
      <c r="AI2" s="89">
        <v>1.64</v>
      </c>
      <c r="AJ2" s="88">
        <v>1.73</v>
      </c>
      <c r="AK2" s="89">
        <v>1.85</v>
      </c>
      <c r="AL2" s="88"/>
      <c r="AM2" s="89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</row>
    <row r="3" spans="1:54" ht="12.75">
      <c r="A3" s="90" t="str">
        <f>B3&amp;"  ["&amp;D3&amp;"] ("&amp;E3&amp;")"</f>
        <v>ASK 23  [IDA] (26,3)</v>
      </c>
      <c r="B3" s="87" t="s">
        <v>75</v>
      </c>
      <c r="C3" s="88" t="s">
        <v>76</v>
      </c>
      <c r="D3" s="92" t="s">
        <v>77</v>
      </c>
      <c r="E3" s="88">
        <v>26.3</v>
      </c>
      <c r="F3" s="88" t="s">
        <v>74</v>
      </c>
      <c r="G3" s="89"/>
      <c r="H3" s="88"/>
      <c r="I3" s="89"/>
      <c r="J3" s="88"/>
      <c r="K3" s="89"/>
      <c r="L3" s="88"/>
      <c r="M3" s="89">
        <v>0.69</v>
      </c>
      <c r="N3" s="88">
        <v>0.67</v>
      </c>
      <c r="O3" s="89">
        <v>0.69</v>
      </c>
      <c r="P3" s="88">
        <v>0.71</v>
      </c>
      <c r="Q3" s="89">
        <v>0.75</v>
      </c>
      <c r="R3" s="88">
        <v>0.79</v>
      </c>
      <c r="S3" s="89">
        <v>0.86</v>
      </c>
      <c r="T3" s="88">
        <v>0.92</v>
      </c>
      <c r="U3" s="89">
        <v>1</v>
      </c>
      <c r="V3" s="88">
        <v>1.1</v>
      </c>
      <c r="W3" s="89">
        <v>1.21</v>
      </c>
      <c r="X3" s="88">
        <v>1.32</v>
      </c>
      <c r="Y3" s="89">
        <v>1.46</v>
      </c>
      <c r="Z3" s="88">
        <v>1.59</v>
      </c>
      <c r="AA3" s="89">
        <v>1.73</v>
      </c>
      <c r="AB3" s="88">
        <v>1.88</v>
      </c>
      <c r="AC3" s="89">
        <v>2.04</v>
      </c>
      <c r="AD3" s="88">
        <v>2.2</v>
      </c>
      <c r="AE3" s="89">
        <v>2.37</v>
      </c>
      <c r="AF3" s="88">
        <v>2.54</v>
      </c>
      <c r="AG3" s="89">
        <v>2.73</v>
      </c>
      <c r="AH3" s="88">
        <v>2.93</v>
      </c>
      <c r="AI3" s="89">
        <v>3.16</v>
      </c>
      <c r="AJ3" s="88">
        <v>3.4</v>
      </c>
      <c r="AK3" s="89">
        <v>3.67</v>
      </c>
      <c r="AL3" s="88"/>
      <c r="AM3" s="89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4" ht="12.75">
      <c r="A4" s="90" t="str">
        <f aca="true" t="shared" si="0" ref="A4:A19">B4&amp;"  ["&amp;D4&amp;"] ("&amp;E4&amp;")"</f>
        <v>Astir CS  [IDA] (29)</v>
      </c>
      <c r="B4" s="91" t="s">
        <v>78</v>
      </c>
      <c r="C4"/>
      <c r="D4" s="92" t="s">
        <v>77</v>
      </c>
      <c r="E4" s="97">
        <v>29</v>
      </c>
      <c r="F4" s="88" t="s">
        <v>79</v>
      </c>
      <c r="G4" s="89"/>
      <c r="H4" s="88"/>
      <c r="I4" s="89"/>
      <c r="J4" s="88"/>
      <c r="K4" s="89"/>
      <c r="L4" s="88"/>
      <c r="M4" s="89">
        <v>1.4734854175300458</v>
      </c>
      <c r="N4" s="93">
        <v>1.36014038541235</v>
      </c>
      <c r="O4" s="89">
        <v>1.36014038541235</v>
      </c>
      <c r="P4" s="93">
        <v>1.36014038541235</v>
      </c>
      <c r="Q4" s="89">
        <v>1.3979220627849152</v>
      </c>
      <c r="R4" s="93">
        <v>1.4734854175300458</v>
      </c>
      <c r="S4" s="89">
        <v>1.5490487722751762</v>
      </c>
      <c r="T4" s="93">
        <v>1.662393804392872</v>
      </c>
      <c r="U4" s="89">
        <v>1.7757388365105677</v>
      </c>
      <c r="V4" s="93">
        <v>1.9646472233733945</v>
      </c>
      <c r="W4" s="89">
        <v>2.1157739328636556</v>
      </c>
      <c r="X4" s="93">
        <v>2.342463997099047</v>
      </c>
      <c r="Y4" s="89">
        <v>2.5691540613344386</v>
      </c>
      <c r="Z4" s="93">
        <v>2.7958441255698303</v>
      </c>
      <c r="AA4" s="89">
        <v>2.984752512432657</v>
      </c>
      <c r="AB4" s="93">
        <v>3.2492242540406138</v>
      </c>
      <c r="AC4" s="89">
        <v>3.589259350393701</v>
      </c>
      <c r="AD4" s="93">
        <v>3.929294446746789</v>
      </c>
      <c r="AE4" s="89">
        <v>4.269329543099876</v>
      </c>
      <c r="AF4" s="93">
        <v>4.571582962080398</v>
      </c>
      <c r="AG4" s="89">
        <v>4.87383638106092</v>
      </c>
      <c r="AH4" s="93">
        <v>5.176089800041443</v>
      </c>
      <c r="AI4" s="89">
        <v>5.51612489639453</v>
      </c>
      <c r="AJ4" s="93">
        <v>5.893941670120183</v>
      </c>
      <c r="AK4" s="89">
        <v>6.271758443845835</v>
      </c>
      <c r="AL4" s="88"/>
      <c r="AM4" s="89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</row>
    <row r="5" spans="1:54" ht="12.75">
      <c r="A5" s="90" t="str">
        <f t="shared" si="0"/>
        <v>Astir CS  [MD] (30)</v>
      </c>
      <c r="B5" s="91" t="s">
        <v>78</v>
      </c>
      <c r="C5"/>
      <c r="D5" s="92" t="s">
        <v>80</v>
      </c>
      <c r="E5" s="97">
        <v>30</v>
      </c>
      <c r="F5" s="88" t="s">
        <v>74</v>
      </c>
      <c r="G5" s="89"/>
      <c r="H5" s="88"/>
      <c r="I5" s="89"/>
      <c r="J5" s="88"/>
      <c r="K5" s="89"/>
      <c r="L5" s="88"/>
      <c r="M5" s="89">
        <v>0.65</v>
      </c>
      <c r="N5" s="93">
        <v>0.62</v>
      </c>
      <c r="O5" s="89">
        <v>0.61</v>
      </c>
      <c r="P5" s="93">
        <v>0.62</v>
      </c>
      <c r="Q5" s="89">
        <v>0.65</v>
      </c>
      <c r="R5" s="93">
        <v>0.72</v>
      </c>
      <c r="S5" s="89">
        <v>0.75</v>
      </c>
      <c r="T5" s="93">
        <v>0.82</v>
      </c>
      <c r="U5" s="89">
        <v>0.85</v>
      </c>
      <c r="V5" s="93">
        <v>0.95</v>
      </c>
      <c r="W5" s="89">
        <v>1</v>
      </c>
      <c r="X5" s="93">
        <v>1.07</v>
      </c>
      <c r="Y5" s="89">
        <v>1.15</v>
      </c>
      <c r="Z5" s="93">
        <v>1.25</v>
      </c>
      <c r="AA5" s="89">
        <v>1.38</v>
      </c>
      <c r="AB5" s="93">
        <v>1.5</v>
      </c>
      <c r="AC5" s="89">
        <v>1.65</v>
      </c>
      <c r="AD5" s="93">
        <v>1.75</v>
      </c>
      <c r="AE5" s="89">
        <v>1.92</v>
      </c>
      <c r="AF5" s="93">
        <v>2.1</v>
      </c>
      <c r="AG5" s="89">
        <v>2.3</v>
      </c>
      <c r="AH5" s="93">
        <v>2.45</v>
      </c>
      <c r="AI5" s="89">
        <v>2.65</v>
      </c>
      <c r="AJ5" s="93">
        <v>2.8</v>
      </c>
      <c r="AK5" s="89">
        <v>3.05</v>
      </c>
      <c r="AL5" s="88"/>
      <c r="AM5" s="89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54" ht="12.75">
      <c r="A6" s="90" t="str">
        <f t="shared" si="0"/>
        <v>Astir CS G-102  [IDA] (29)</v>
      </c>
      <c r="B6" s="87" t="s">
        <v>81</v>
      </c>
      <c r="C6" s="88" t="s">
        <v>82</v>
      </c>
      <c r="D6" s="92" t="s">
        <v>77</v>
      </c>
      <c r="E6" s="88">
        <v>29</v>
      </c>
      <c r="F6" s="88" t="s">
        <v>74</v>
      </c>
      <c r="G6" s="89"/>
      <c r="H6" s="88"/>
      <c r="I6" s="89"/>
      <c r="J6" s="88"/>
      <c r="K6" s="89"/>
      <c r="L6" s="88"/>
      <c r="M6" s="89">
        <v>0.76</v>
      </c>
      <c r="N6" s="88">
        <v>0.71</v>
      </c>
      <c r="O6" s="89">
        <v>0.7</v>
      </c>
      <c r="P6" s="88">
        <v>0.7</v>
      </c>
      <c r="Q6" s="89">
        <v>0.72</v>
      </c>
      <c r="R6" s="88">
        <v>0.76</v>
      </c>
      <c r="S6" s="89">
        <v>0.81</v>
      </c>
      <c r="T6" s="88">
        <v>0.86</v>
      </c>
      <c r="U6" s="89">
        <v>0.93</v>
      </c>
      <c r="V6" s="88">
        <v>1.02</v>
      </c>
      <c r="W6" s="89">
        <v>1.09</v>
      </c>
      <c r="X6" s="88">
        <v>1.18</v>
      </c>
      <c r="Y6" s="89">
        <v>1.28</v>
      </c>
      <c r="Z6" s="88">
        <v>1.37</v>
      </c>
      <c r="AA6" s="89">
        <v>1.49</v>
      </c>
      <c r="AB6" s="88">
        <v>1.61</v>
      </c>
      <c r="AC6" s="89">
        <v>1.74</v>
      </c>
      <c r="AD6" s="88">
        <v>1.88</v>
      </c>
      <c r="AE6" s="89">
        <v>2.04</v>
      </c>
      <c r="AF6" s="88">
        <v>2.2</v>
      </c>
      <c r="AG6" s="89">
        <v>2.37</v>
      </c>
      <c r="AH6" s="88">
        <v>2.55</v>
      </c>
      <c r="AI6" s="89">
        <v>2.73</v>
      </c>
      <c r="AJ6" s="88">
        <v>2.92</v>
      </c>
      <c r="AK6" s="89">
        <v>3.12</v>
      </c>
      <c r="AL6" s="88"/>
      <c r="AM6" s="89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</row>
    <row r="7" spans="1:54" ht="12.75">
      <c r="A7" s="90" t="str">
        <f t="shared" si="0"/>
        <v>Astir -Twin   [IDA] (33,4)</v>
      </c>
      <c r="B7" s="87" t="s">
        <v>83</v>
      </c>
      <c r="C7" s="88" t="s">
        <v>84</v>
      </c>
      <c r="D7" s="92" t="s">
        <v>77</v>
      </c>
      <c r="E7" s="88">
        <v>33.4</v>
      </c>
      <c r="F7" s="88" t="s">
        <v>74</v>
      </c>
      <c r="G7" s="89"/>
      <c r="H7" s="88"/>
      <c r="I7" s="89"/>
      <c r="J7" s="88"/>
      <c r="K7" s="89"/>
      <c r="L7" s="88"/>
      <c r="M7" s="89"/>
      <c r="N7" s="88"/>
      <c r="O7" s="89">
        <v>0.78</v>
      </c>
      <c r="P7" s="88">
        <v>0.76</v>
      </c>
      <c r="Q7" s="89">
        <v>0.75</v>
      </c>
      <c r="R7" s="88">
        <v>0.76</v>
      </c>
      <c r="S7" s="89">
        <v>0.78</v>
      </c>
      <c r="T7" s="88">
        <v>0.81</v>
      </c>
      <c r="U7" s="89">
        <v>0.87</v>
      </c>
      <c r="V7" s="88">
        <v>0.92</v>
      </c>
      <c r="W7" s="89">
        <v>0.99</v>
      </c>
      <c r="X7" s="88">
        <v>1.07</v>
      </c>
      <c r="Y7" s="89">
        <v>1.16</v>
      </c>
      <c r="Z7" s="88">
        <v>1.24</v>
      </c>
      <c r="AA7" s="89">
        <v>1.34</v>
      </c>
      <c r="AB7" s="88">
        <v>1.44</v>
      </c>
      <c r="AC7" s="89">
        <v>1.54</v>
      </c>
      <c r="AD7" s="88">
        <v>1.65</v>
      </c>
      <c r="AE7" s="89">
        <v>1.77</v>
      </c>
      <c r="AF7" s="88">
        <v>1.9</v>
      </c>
      <c r="AG7" s="89">
        <v>2.03</v>
      </c>
      <c r="AH7" s="88">
        <v>2.17</v>
      </c>
      <c r="AI7" s="89">
        <v>2.33</v>
      </c>
      <c r="AJ7" s="88">
        <v>2.51</v>
      </c>
      <c r="AK7" s="89">
        <v>2.71</v>
      </c>
      <c r="AL7" s="88">
        <v>2.91</v>
      </c>
      <c r="AM7" s="89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</row>
    <row r="8" spans="1:54" ht="12.75">
      <c r="A8" s="90" t="str">
        <f t="shared" si="0"/>
        <v>ASW 15  [IDA] (27,7)</v>
      </c>
      <c r="B8" s="87" t="s">
        <v>85</v>
      </c>
      <c r="C8" s="88" t="s">
        <v>86</v>
      </c>
      <c r="D8" s="92" t="s">
        <v>77</v>
      </c>
      <c r="E8" s="88">
        <v>27.7</v>
      </c>
      <c r="F8" s="88" t="s">
        <v>74</v>
      </c>
      <c r="G8" s="89"/>
      <c r="H8" s="88"/>
      <c r="I8" s="89"/>
      <c r="J8" s="88"/>
      <c r="K8" s="89"/>
      <c r="L8" s="88"/>
      <c r="M8" s="89">
        <v>0.8</v>
      </c>
      <c r="N8" s="88">
        <v>0.69</v>
      </c>
      <c r="O8" s="89">
        <v>0.64</v>
      </c>
      <c r="P8" s="88">
        <v>0.65</v>
      </c>
      <c r="Q8" s="89">
        <v>0.68</v>
      </c>
      <c r="R8" s="88">
        <v>0.73</v>
      </c>
      <c r="S8" s="89">
        <v>0.8</v>
      </c>
      <c r="T8" s="88">
        <v>0.87</v>
      </c>
      <c r="U8" s="89">
        <v>0.94</v>
      </c>
      <c r="V8" s="88">
        <v>1.04</v>
      </c>
      <c r="W8" s="89">
        <v>1.14</v>
      </c>
      <c r="X8" s="88">
        <v>1.25</v>
      </c>
      <c r="Y8" s="89">
        <v>1.38</v>
      </c>
      <c r="Z8" s="88">
        <v>1.5</v>
      </c>
      <c r="AA8" s="89">
        <v>1.64</v>
      </c>
      <c r="AB8" s="88">
        <v>1.78</v>
      </c>
      <c r="AC8" s="89">
        <v>1.93</v>
      </c>
      <c r="AD8" s="88">
        <v>2.09</v>
      </c>
      <c r="AE8" s="89"/>
      <c r="AF8" s="88"/>
      <c r="AG8" s="89"/>
      <c r="AH8" s="88"/>
      <c r="AI8" s="89"/>
      <c r="AJ8" s="88"/>
      <c r="AK8" s="89"/>
      <c r="AL8" s="88"/>
      <c r="AM8" s="89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</row>
    <row r="9" spans="1:54" ht="12.75">
      <c r="A9" s="90" t="str">
        <f t="shared" si="0"/>
        <v>ASW 15  [IDA] (27,7)</v>
      </c>
      <c r="B9" s="91" t="s">
        <v>85</v>
      </c>
      <c r="C9"/>
      <c r="D9" s="92" t="s">
        <v>77</v>
      </c>
      <c r="E9" s="97">
        <v>27.7</v>
      </c>
      <c r="F9" s="88" t="s">
        <v>79</v>
      </c>
      <c r="G9" s="89"/>
      <c r="H9" s="88"/>
      <c r="I9" s="89"/>
      <c r="J9" s="88"/>
      <c r="K9" s="89"/>
      <c r="L9" s="88"/>
      <c r="M9" s="89">
        <v>1.5490487722751762</v>
      </c>
      <c r="N9" s="93">
        <v>1.3223587080397845</v>
      </c>
      <c r="O9" s="89">
        <v>1.246795353294654</v>
      </c>
      <c r="P9" s="93">
        <v>1.246795353294654</v>
      </c>
      <c r="Q9" s="89">
        <v>1.3223587080397845</v>
      </c>
      <c r="R9" s="93">
        <v>1.3979220627849152</v>
      </c>
      <c r="S9" s="89">
        <v>1.5490487722751762</v>
      </c>
      <c r="T9" s="93">
        <v>1.662393804392872</v>
      </c>
      <c r="U9" s="89">
        <v>1.8135205138831332</v>
      </c>
      <c r="V9" s="93">
        <v>2.0024289007459597</v>
      </c>
      <c r="W9" s="89">
        <v>2.191337287608786</v>
      </c>
      <c r="X9" s="93">
        <v>2.4180273518441777</v>
      </c>
      <c r="Y9" s="89">
        <v>2.644717416079569</v>
      </c>
      <c r="Z9" s="93">
        <v>2.8714074803149607</v>
      </c>
      <c r="AA9" s="89">
        <v>3.173660899295483</v>
      </c>
      <c r="AB9" s="93">
        <v>3.43813264090344</v>
      </c>
      <c r="AC9" s="89">
        <v>3.702604382511397</v>
      </c>
      <c r="AD9" s="93">
        <v>4.042639478864484</v>
      </c>
      <c r="AE9" s="89"/>
      <c r="AF9" s="93"/>
      <c r="AG9" s="89"/>
      <c r="AH9" s="93"/>
      <c r="AI9" s="89"/>
      <c r="AJ9" s="93"/>
      <c r="AK9" s="89"/>
      <c r="AL9" s="88"/>
      <c r="AM9" s="89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</row>
    <row r="10" spans="1:54" ht="12.75">
      <c r="A10" s="90" t="str">
        <f>B10&amp;"  ["&amp;D10&amp;"] ("&amp;E10&amp;")"</f>
        <v>ASW 17  [IDA] (32)</v>
      </c>
      <c r="B10" s="87" t="s">
        <v>87</v>
      </c>
      <c r="C10" s="88" t="s">
        <v>88</v>
      </c>
      <c r="D10" s="92" t="s">
        <v>77</v>
      </c>
      <c r="E10" s="88">
        <v>32</v>
      </c>
      <c r="F10" s="88" t="s">
        <v>74</v>
      </c>
      <c r="G10" s="89"/>
      <c r="H10" s="88"/>
      <c r="I10" s="89"/>
      <c r="J10" s="88"/>
      <c r="K10" s="89"/>
      <c r="L10" s="88"/>
      <c r="M10" s="89"/>
      <c r="N10" s="88">
        <v>0.57</v>
      </c>
      <c r="O10" s="89">
        <v>0.55</v>
      </c>
      <c r="P10" s="88">
        <v>0.56</v>
      </c>
      <c r="Q10" s="89">
        <v>0.56</v>
      </c>
      <c r="R10" s="88">
        <v>0.56</v>
      </c>
      <c r="S10" s="89">
        <v>0.57</v>
      </c>
      <c r="T10" s="88">
        <v>0.6</v>
      </c>
      <c r="U10" s="89">
        <v>0.64</v>
      </c>
      <c r="V10" s="88">
        <v>0.68</v>
      </c>
      <c r="W10" s="89">
        <v>0.74</v>
      </c>
      <c r="X10" s="88">
        <v>0.82</v>
      </c>
      <c r="Y10" s="89">
        <v>0.9</v>
      </c>
      <c r="Z10" s="88">
        <v>0.98</v>
      </c>
      <c r="AA10" s="89">
        <v>1.06</v>
      </c>
      <c r="AB10" s="88">
        <v>1.13</v>
      </c>
      <c r="AC10" s="89">
        <v>1.23</v>
      </c>
      <c r="AD10" s="88">
        <v>1.36</v>
      </c>
      <c r="AE10" s="89">
        <v>1.42</v>
      </c>
      <c r="AF10" s="88">
        <v>1.53</v>
      </c>
      <c r="AG10" s="89">
        <v>1.65</v>
      </c>
      <c r="AH10" s="88">
        <v>1.78</v>
      </c>
      <c r="AI10" s="89">
        <v>1.94</v>
      </c>
      <c r="AJ10" s="88">
        <v>2.11</v>
      </c>
      <c r="AK10" s="89">
        <v>2.3</v>
      </c>
      <c r="AL10" s="88">
        <v>2.5</v>
      </c>
      <c r="AM10" s="89">
        <v>2.69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1:54" ht="12.75">
      <c r="A11" s="90" t="str">
        <f t="shared" si="0"/>
        <v>ASW 17 S/21  [IDA] (32,1)</v>
      </c>
      <c r="B11" s="87" t="s">
        <v>89</v>
      </c>
      <c r="C11" s="88" t="s">
        <v>90</v>
      </c>
      <c r="D11" s="92" t="s">
        <v>77</v>
      </c>
      <c r="E11" s="88">
        <v>32.1</v>
      </c>
      <c r="F11" s="88" t="s">
        <v>74</v>
      </c>
      <c r="G11" s="89"/>
      <c r="H11" s="88"/>
      <c r="I11" s="89"/>
      <c r="J11" s="88"/>
      <c r="K11" s="89"/>
      <c r="L11" s="88"/>
      <c r="M11" s="89"/>
      <c r="N11" s="88">
        <v>0.53</v>
      </c>
      <c r="O11" s="89">
        <v>0.52</v>
      </c>
      <c r="P11" s="88">
        <v>0.53</v>
      </c>
      <c r="Q11" s="89">
        <v>0.56</v>
      </c>
      <c r="R11" s="88">
        <v>0.56</v>
      </c>
      <c r="S11" s="89">
        <v>0.58</v>
      </c>
      <c r="T11" s="88">
        <v>0.6</v>
      </c>
      <c r="U11" s="89">
        <v>0.63</v>
      </c>
      <c r="V11" s="88">
        <v>0.67</v>
      </c>
      <c r="W11" s="89">
        <v>0.72</v>
      </c>
      <c r="X11" s="88">
        <v>0.78</v>
      </c>
      <c r="Y11" s="89">
        <v>0.87</v>
      </c>
      <c r="Z11" s="88">
        <v>0.96</v>
      </c>
      <c r="AA11" s="89">
        <v>1.05</v>
      </c>
      <c r="AB11" s="88">
        <v>1.14</v>
      </c>
      <c r="AC11" s="89">
        <v>1.23</v>
      </c>
      <c r="AD11" s="88">
        <v>1.33</v>
      </c>
      <c r="AE11" s="89">
        <v>1.44</v>
      </c>
      <c r="AF11" s="88">
        <v>1.55</v>
      </c>
      <c r="AG11" s="89">
        <v>1.68</v>
      </c>
      <c r="AH11" s="88">
        <v>1.83</v>
      </c>
      <c r="AI11" s="89">
        <v>1.99</v>
      </c>
      <c r="AJ11" s="88">
        <v>2.18</v>
      </c>
      <c r="AK11" s="89">
        <v>2.37</v>
      </c>
      <c r="AL11" s="88">
        <v>2.56</v>
      </c>
      <c r="AM11" s="89">
        <v>2.76</v>
      </c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1:54" ht="12.75">
      <c r="A12" s="90" t="str">
        <f t="shared" si="0"/>
        <v>ASW 19  [IDA] (31,5)</v>
      </c>
      <c r="B12" s="87" t="s">
        <v>91</v>
      </c>
      <c r="C12" s="88" t="s">
        <v>92</v>
      </c>
      <c r="D12" s="92" t="s">
        <v>77</v>
      </c>
      <c r="E12" s="88">
        <v>31.5</v>
      </c>
      <c r="F12" s="88" t="s">
        <v>74</v>
      </c>
      <c r="G12" s="89"/>
      <c r="H12" s="88"/>
      <c r="I12" s="89"/>
      <c r="J12" s="88"/>
      <c r="K12" s="89"/>
      <c r="L12" s="88"/>
      <c r="M12" s="89">
        <v>2.2</v>
      </c>
      <c r="N12" s="88">
        <v>0.65</v>
      </c>
      <c r="O12" s="89">
        <v>0.63</v>
      </c>
      <c r="P12" s="88">
        <v>0.63</v>
      </c>
      <c r="Q12" s="89">
        <v>0.65</v>
      </c>
      <c r="R12" s="88">
        <v>0.69</v>
      </c>
      <c r="S12" s="89">
        <v>0.75</v>
      </c>
      <c r="T12" s="88">
        <v>0.81</v>
      </c>
      <c r="U12" s="89">
        <v>0.87</v>
      </c>
      <c r="V12" s="88">
        <v>0.94</v>
      </c>
      <c r="W12" s="89">
        <v>1.02</v>
      </c>
      <c r="X12" s="88">
        <v>1.09</v>
      </c>
      <c r="Y12" s="89">
        <v>1.17</v>
      </c>
      <c r="Z12" s="88">
        <v>1.27</v>
      </c>
      <c r="AA12" s="89">
        <v>1.37</v>
      </c>
      <c r="AB12" s="88">
        <v>1.49</v>
      </c>
      <c r="AC12" s="89">
        <v>1.63</v>
      </c>
      <c r="AD12" s="88">
        <v>1.76</v>
      </c>
      <c r="AE12" s="89">
        <v>1.92</v>
      </c>
      <c r="AF12" s="88">
        <v>2.07</v>
      </c>
      <c r="AG12" s="89">
        <v>2.25</v>
      </c>
      <c r="AH12" s="88">
        <v>2.44</v>
      </c>
      <c r="AI12" s="89">
        <v>2.64</v>
      </c>
      <c r="AJ12" s="88">
        <v>2.84</v>
      </c>
      <c r="AK12" s="89">
        <v>3.04</v>
      </c>
      <c r="AL12" s="88">
        <v>3.26</v>
      </c>
      <c r="AM12" s="89">
        <v>3.37</v>
      </c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1:54" ht="12.75">
      <c r="A13" s="90" t="str">
        <f t="shared" si="0"/>
        <v>ASW 19  [IDA] (35,5)</v>
      </c>
      <c r="B13" s="87" t="s">
        <v>91</v>
      </c>
      <c r="C13" s="88" t="s">
        <v>92</v>
      </c>
      <c r="D13" s="92" t="s">
        <v>77</v>
      </c>
      <c r="E13" s="88">
        <v>35.5</v>
      </c>
      <c r="F13" s="88" t="s">
        <v>74</v>
      </c>
      <c r="G13" s="89"/>
      <c r="H13" s="88"/>
      <c r="I13" s="89"/>
      <c r="J13" s="88"/>
      <c r="K13" s="89"/>
      <c r="L13" s="88"/>
      <c r="M13" s="89"/>
      <c r="N13" s="88"/>
      <c r="O13" s="89">
        <v>0.69</v>
      </c>
      <c r="P13" s="88">
        <v>0.67</v>
      </c>
      <c r="Q13" s="89">
        <v>0.67</v>
      </c>
      <c r="R13" s="88">
        <v>0.69</v>
      </c>
      <c r="S13" s="89">
        <v>0.73</v>
      </c>
      <c r="T13" s="88">
        <v>0.78</v>
      </c>
      <c r="U13" s="89">
        <v>0.84</v>
      </c>
      <c r="V13" s="88">
        <v>0.89</v>
      </c>
      <c r="W13" s="89">
        <v>0.97</v>
      </c>
      <c r="X13" s="88">
        <v>1.05</v>
      </c>
      <c r="Y13" s="89">
        <v>1.12</v>
      </c>
      <c r="Z13" s="88">
        <v>1.2</v>
      </c>
      <c r="AA13" s="89">
        <v>1.29</v>
      </c>
      <c r="AB13" s="88">
        <v>1.4</v>
      </c>
      <c r="AC13" s="89">
        <v>1.49</v>
      </c>
      <c r="AD13" s="88">
        <v>1.6</v>
      </c>
      <c r="AE13" s="89">
        <v>1.77</v>
      </c>
      <c r="AF13" s="88">
        <v>1.89</v>
      </c>
      <c r="AG13" s="89">
        <v>2.04</v>
      </c>
      <c r="AH13" s="88">
        <v>2.2</v>
      </c>
      <c r="AI13" s="89">
        <v>2.39</v>
      </c>
      <c r="AJ13" s="88">
        <v>2.59</v>
      </c>
      <c r="AK13" s="89">
        <v>2.77</v>
      </c>
      <c r="AL13" s="88">
        <v>3</v>
      </c>
      <c r="AM13" s="89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1:54" ht="12.75">
      <c r="A14" s="90" t="str">
        <f t="shared" si="0"/>
        <v>ASW 19  [IDA] (31,5)</v>
      </c>
      <c r="B14" s="91" t="s">
        <v>91</v>
      </c>
      <c r="C14"/>
      <c r="D14" s="92" t="s">
        <v>77</v>
      </c>
      <c r="E14" s="97">
        <v>31.5</v>
      </c>
      <c r="F14" s="88" t="s">
        <v>79</v>
      </c>
      <c r="G14" s="89"/>
      <c r="H14" s="88"/>
      <c r="I14" s="89"/>
      <c r="J14" s="88"/>
      <c r="K14" s="89"/>
      <c r="M14" s="89">
        <v>4.231547865727311</v>
      </c>
      <c r="N14" s="93">
        <v>1.246795353294654</v>
      </c>
      <c r="O14" s="89">
        <v>1.2090136759220889</v>
      </c>
      <c r="P14" s="93">
        <v>1.2090136759220889</v>
      </c>
      <c r="Q14" s="89">
        <v>1.246795353294654</v>
      </c>
      <c r="R14" s="93">
        <v>1.3223587080397845</v>
      </c>
      <c r="S14" s="89">
        <v>1.4357037401574804</v>
      </c>
      <c r="T14" s="93">
        <v>1.5490487722751762</v>
      </c>
      <c r="U14" s="89">
        <v>1.662393804392872</v>
      </c>
      <c r="V14" s="93">
        <v>1.8135205138831332</v>
      </c>
      <c r="W14" s="89">
        <v>1.9646472233733945</v>
      </c>
      <c r="X14" s="93">
        <v>2.1157739328636556</v>
      </c>
      <c r="Y14" s="89">
        <v>2.2669006423539164</v>
      </c>
      <c r="Z14" s="93">
        <v>2.455809029216743</v>
      </c>
      <c r="AA14" s="89">
        <v>2.644717416079569</v>
      </c>
      <c r="AB14" s="93">
        <v>2.8714074803149607</v>
      </c>
      <c r="AC14" s="89">
        <v>3.173660899295483</v>
      </c>
      <c r="AD14" s="93">
        <v>3.4003509635308746</v>
      </c>
      <c r="AE14" s="89">
        <v>3.702604382511397</v>
      </c>
      <c r="AF14" s="93">
        <v>4.004857801491919</v>
      </c>
      <c r="AG14" s="89">
        <v>4.344892897845006</v>
      </c>
      <c r="AH14" s="93">
        <v>4.684927994198094</v>
      </c>
      <c r="AI14" s="89">
        <v>5.100526445296312</v>
      </c>
      <c r="AJ14" s="93">
        <v>5.478343219021965</v>
      </c>
      <c r="AK14" s="89">
        <v>5.856159992747618</v>
      </c>
      <c r="AL14" s="88"/>
      <c r="AM14" s="89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1:54" ht="12.75">
      <c r="A15" s="90" t="str">
        <f t="shared" si="0"/>
        <v>ASW 19  [IDA] (35,5)</v>
      </c>
      <c r="B15" s="87" t="s">
        <v>91</v>
      </c>
      <c r="C15" s="88"/>
      <c r="D15" s="92" t="s">
        <v>77</v>
      </c>
      <c r="E15" s="88">
        <v>35.5</v>
      </c>
      <c r="F15" s="88" t="s">
        <v>74</v>
      </c>
      <c r="G15" s="89"/>
      <c r="H15" s="88"/>
      <c r="I15" s="89"/>
      <c r="J15" s="88"/>
      <c r="K15" s="89"/>
      <c r="L15" s="88"/>
      <c r="M15" s="89"/>
      <c r="N15" s="88"/>
      <c r="O15" s="89">
        <v>0.69</v>
      </c>
      <c r="P15" s="88">
        <v>0.67</v>
      </c>
      <c r="Q15" s="89">
        <v>0.67</v>
      </c>
      <c r="R15" s="88">
        <v>0.69</v>
      </c>
      <c r="S15" s="89">
        <v>0.73</v>
      </c>
      <c r="T15" s="88">
        <v>0.78</v>
      </c>
      <c r="U15" s="89">
        <v>0.84</v>
      </c>
      <c r="V15" s="88">
        <v>0.89</v>
      </c>
      <c r="W15" s="89">
        <v>0.97</v>
      </c>
      <c r="X15" s="88">
        <v>1.05</v>
      </c>
      <c r="Y15" s="89">
        <v>1.12</v>
      </c>
      <c r="Z15" s="88">
        <v>1.2</v>
      </c>
      <c r="AA15" s="89">
        <v>1.29</v>
      </c>
      <c r="AB15" s="88">
        <v>1.4</v>
      </c>
      <c r="AC15" s="89">
        <v>1.49</v>
      </c>
      <c r="AD15" s="88">
        <v>1.6</v>
      </c>
      <c r="AE15" s="89">
        <v>1.77</v>
      </c>
      <c r="AF15" s="88">
        <v>1.89</v>
      </c>
      <c r="AG15" s="89">
        <v>2.04</v>
      </c>
      <c r="AH15" s="88">
        <v>2.2</v>
      </c>
      <c r="AI15" s="89">
        <v>2.39</v>
      </c>
      <c r="AJ15" s="88">
        <v>2.59</v>
      </c>
      <c r="AK15" s="89">
        <v>2.77</v>
      </c>
      <c r="AL15" s="88">
        <v>3</v>
      </c>
      <c r="AM15" s="89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1:54" ht="12.75">
      <c r="A16" s="90" t="str">
        <f t="shared" si="0"/>
        <v>ASW 20  [IDA] (33,6)</v>
      </c>
      <c r="B16" s="87" t="s">
        <v>93</v>
      </c>
      <c r="C16" s="88" t="s">
        <v>94</v>
      </c>
      <c r="D16" s="92" t="s">
        <v>77</v>
      </c>
      <c r="E16" s="88">
        <v>33.6</v>
      </c>
      <c r="F16" s="88" t="s">
        <v>74</v>
      </c>
      <c r="G16" s="89"/>
      <c r="H16" s="88"/>
      <c r="I16" s="89"/>
      <c r="J16" s="88"/>
      <c r="K16" s="89"/>
      <c r="L16" s="88"/>
      <c r="M16" s="89"/>
      <c r="N16" s="88">
        <v>0.64</v>
      </c>
      <c r="O16" s="89">
        <v>0.62</v>
      </c>
      <c r="P16" s="88">
        <v>0.6</v>
      </c>
      <c r="Q16" s="89">
        <v>0.62</v>
      </c>
      <c r="R16" s="88">
        <v>0.64</v>
      </c>
      <c r="S16" s="89">
        <v>0.67</v>
      </c>
      <c r="T16" s="88">
        <v>0.7</v>
      </c>
      <c r="U16" s="89">
        <v>0.74</v>
      </c>
      <c r="V16" s="88">
        <v>0.79</v>
      </c>
      <c r="W16" s="89">
        <v>0.85</v>
      </c>
      <c r="X16" s="88">
        <v>0.92</v>
      </c>
      <c r="Y16" s="89">
        <v>1</v>
      </c>
      <c r="Z16" s="88">
        <v>1.06</v>
      </c>
      <c r="AA16" s="89">
        <v>1.12</v>
      </c>
      <c r="AB16" s="88">
        <v>1.2</v>
      </c>
      <c r="AC16" s="89">
        <v>1.27</v>
      </c>
      <c r="AD16" s="88">
        <v>1.38</v>
      </c>
      <c r="AE16" s="89">
        <v>1.47</v>
      </c>
      <c r="AF16" s="88">
        <v>1.58</v>
      </c>
      <c r="AG16" s="89">
        <v>1.7</v>
      </c>
      <c r="AH16" s="88">
        <v>1.83</v>
      </c>
      <c r="AI16" s="89"/>
      <c r="AJ16" s="88"/>
      <c r="AK16" s="89"/>
      <c r="AL16" s="88"/>
      <c r="AM16" s="89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1:54" ht="12.75">
      <c r="A17" s="90" t="str">
        <f t="shared" si="0"/>
        <v>ASW 20  [IDA] (34,4)</v>
      </c>
      <c r="B17" s="87" t="s">
        <v>93</v>
      </c>
      <c r="C17" s="88" t="s">
        <v>95</v>
      </c>
      <c r="D17" s="92" t="s">
        <v>77</v>
      </c>
      <c r="E17" s="88">
        <v>34.4</v>
      </c>
      <c r="F17" s="88" t="s">
        <v>74</v>
      </c>
      <c r="G17" s="89"/>
      <c r="H17" s="88"/>
      <c r="I17" s="89"/>
      <c r="J17" s="88"/>
      <c r="K17" s="89"/>
      <c r="L17" s="88"/>
      <c r="M17" s="89"/>
      <c r="N17" s="88">
        <v>0.68</v>
      </c>
      <c r="O17" s="89">
        <v>0.65</v>
      </c>
      <c r="P17" s="88">
        <v>0.64</v>
      </c>
      <c r="Q17" s="89">
        <v>0.64</v>
      </c>
      <c r="R17" s="88">
        <v>0.66</v>
      </c>
      <c r="S17" s="89">
        <v>0.69</v>
      </c>
      <c r="T17" s="88">
        <v>0.72</v>
      </c>
      <c r="U17" s="89">
        <v>0.77</v>
      </c>
      <c r="V17" s="88">
        <v>0.82</v>
      </c>
      <c r="W17" s="89">
        <v>0.87</v>
      </c>
      <c r="X17" s="88">
        <v>0.94</v>
      </c>
      <c r="Y17" s="89">
        <v>1.02</v>
      </c>
      <c r="Z17" s="88">
        <v>1.12</v>
      </c>
      <c r="AA17" s="89">
        <v>1.23</v>
      </c>
      <c r="AB17" s="88">
        <v>1.32</v>
      </c>
      <c r="AC17" s="89">
        <v>1.44</v>
      </c>
      <c r="AD17" s="88">
        <v>1.56</v>
      </c>
      <c r="AE17" s="89">
        <v>1.68</v>
      </c>
      <c r="AF17" s="88">
        <v>1.8</v>
      </c>
      <c r="AG17" s="89">
        <v>1.93</v>
      </c>
      <c r="AH17" s="88">
        <v>2.08</v>
      </c>
      <c r="AI17" s="89">
        <v>2.23</v>
      </c>
      <c r="AJ17" s="88">
        <v>2.38</v>
      </c>
      <c r="AK17" s="89"/>
      <c r="AL17" s="88"/>
      <c r="AM17" s="89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</row>
    <row r="18" spans="1:54" ht="12.75">
      <c r="A18" s="90" t="str">
        <f t="shared" si="0"/>
        <v>ASW 20A  [IDA] (35,9)</v>
      </c>
      <c r="B18" s="87" t="s">
        <v>96</v>
      </c>
      <c r="C18" s="88" t="s">
        <v>97</v>
      </c>
      <c r="D18" s="92" t="s">
        <v>77</v>
      </c>
      <c r="E18" s="88">
        <v>35.9</v>
      </c>
      <c r="F18" s="88" t="s">
        <v>74</v>
      </c>
      <c r="G18" s="89"/>
      <c r="H18" s="88"/>
      <c r="I18" s="89"/>
      <c r="J18" s="88"/>
      <c r="K18" s="89"/>
      <c r="L18" s="88"/>
      <c r="M18" s="89">
        <v>1</v>
      </c>
      <c r="N18" s="88">
        <v>0.75</v>
      </c>
      <c r="O18" s="89">
        <v>0.69</v>
      </c>
      <c r="P18" s="88">
        <v>0.66</v>
      </c>
      <c r="Q18" s="89">
        <v>0.66</v>
      </c>
      <c r="R18" s="88">
        <v>0.69</v>
      </c>
      <c r="S18" s="89">
        <v>0.73</v>
      </c>
      <c r="T18" s="88">
        <v>0.79</v>
      </c>
      <c r="U18" s="89">
        <v>0.84</v>
      </c>
      <c r="V18" s="88">
        <v>0.89</v>
      </c>
      <c r="W18" s="89">
        <v>0.96</v>
      </c>
      <c r="X18" s="88">
        <v>1.05</v>
      </c>
      <c r="Y18" s="89">
        <v>1.13</v>
      </c>
      <c r="Z18" s="88">
        <v>1.23</v>
      </c>
      <c r="AA18" s="89">
        <v>1.32</v>
      </c>
      <c r="AB18" s="88">
        <v>1.43</v>
      </c>
      <c r="AC18" s="89">
        <v>1.55</v>
      </c>
      <c r="AD18" s="88">
        <v>1.67</v>
      </c>
      <c r="AE18" s="89">
        <v>1.79</v>
      </c>
      <c r="AF18" s="88">
        <v>1.92</v>
      </c>
      <c r="AG18" s="89">
        <v>2.08</v>
      </c>
      <c r="AH18" s="88">
        <v>2.25</v>
      </c>
      <c r="AI18" s="89">
        <v>2.45</v>
      </c>
      <c r="AJ18" s="88">
        <v>2.71</v>
      </c>
      <c r="AK18" s="89"/>
      <c r="AL18" s="88"/>
      <c r="AM18" s="89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1:54" ht="12.75">
      <c r="A19" s="90" t="str">
        <f t="shared" si="0"/>
        <v>ASW 20C  [IDA] (33,25)</v>
      </c>
      <c r="B19" s="87" t="s">
        <v>98</v>
      </c>
      <c r="C19" s="88" t="s">
        <v>99</v>
      </c>
      <c r="D19" s="92" t="s">
        <v>77</v>
      </c>
      <c r="E19" s="88">
        <v>33.25</v>
      </c>
      <c r="F19" s="88" t="s">
        <v>74</v>
      </c>
      <c r="G19" s="89"/>
      <c r="H19" s="88"/>
      <c r="I19" s="89"/>
      <c r="J19" s="88"/>
      <c r="K19" s="89"/>
      <c r="L19" s="88"/>
      <c r="M19" s="89"/>
      <c r="N19" s="88">
        <v>0.65</v>
      </c>
      <c r="O19" s="89">
        <v>0.61</v>
      </c>
      <c r="P19" s="88">
        <v>0.6</v>
      </c>
      <c r="Q19" s="89">
        <v>0.6</v>
      </c>
      <c r="R19" s="88">
        <v>0.63</v>
      </c>
      <c r="S19" s="89">
        <v>0.66</v>
      </c>
      <c r="T19" s="88">
        <v>0.7</v>
      </c>
      <c r="U19" s="89">
        <v>0.74</v>
      </c>
      <c r="V19" s="88">
        <v>0.8</v>
      </c>
      <c r="W19" s="89">
        <v>0.87</v>
      </c>
      <c r="X19" s="88">
        <v>0.94</v>
      </c>
      <c r="Y19" s="89">
        <v>1.02</v>
      </c>
      <c r="Z19" s="88">
        <v>1.1</v>
      </c>
      <c r="AA19" s="89">
        <v>1.18</v>
      </c>
      <c r="AB19" s="88">
        <v>1.27</v>
      </c>
      <c r="AC19" s="89">
        <v>1.37</v>
      </c>
      <c r="AD19" s="88">
        <v>1.46</v>
      </c>
      <c r="AE19" s="89">
        <v>1.55</v>
      </c>
      <c r="AF19" s="88">
        <v>1.66</v>
      </c>
      <c r="AG19" s="89">
        <v>1.76</v>
      </c>
      <c r="AH19" s="88">
        <v>1.88</v>
      </c>
      <c r="AI19" s="89">
        <v>1.99</v>
      </c>
      <c r="AJ19" s="88">
        <v>2.15</v>
      </c>
      <c r="AK19" s="89">
        <v>2.28</v>
      </c>
      <c r="AL19" s="88">
        <v>2.42</v>
      </c>
      <c r="AM19" s="89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1:54" ht="12.75">
      <c r="A20" s="90" t="str">
        <f aca="true" t="shared" si="1" ref="A20:A36">B20&amp;"  ["&amp;D20&amp;"] ("&amp;E20&amp;")"</f>
        <v>ASW 20L  [IDA] (32,3)</v>
      </c>
      <c r="B20" s="87" t="s">
        <v>100</v>
      </c>
      <c r="C20" s="88" t="s">
        <v>101</v>
      </c>
      <c r="D20" s="92" t="s">
        <v>77</v>
      </c>
      <c r="E20" s="88">
        <v>32.3</v>
      </c>
      <c r="F20" s="88" t="s">
        <v>74</v>
      </c>
      <c r="G20" s="89"/>
      <c r="H20" s="88"/>
      <c r="I20" s="89"/>
      <c r="J20" s="88"/>
      <c r="K20" s="89"/>
      <c r="L20" s="88"/>
      <c r="M20" s="89"/>
      <c r="N20" s="88">
        <v>0.59</v>
      </c>
      <c r="O20" s="89">
        <v>0.57</v>
      </c>
      <c r="P20" s="88">
        <v>0.57</v>
      </c>
      <c r="Q20" s="89">
        <v>0.56</v>
      </c>
      <c r="R20" s="88">
        <v>0.58</v>
      </c>
      <c r="S20" s="89">
        <v>0.62</v>
      </c>
      <c r="T20" s="88">
        <v>0.66</v>
      </c>
      <c r="U20" s="89">
        <v>0.7</v>
      </c>
      <c r="V20" s="88">
        <v>0.76</v>
      </c>
      <c r="W20" s="89">
        <v>0.84</v>
      </c>
      <c r="X20" s="88">
        <v>0.93</v>
      </c>
      <c r="Y20" s="89">
        <v>1</v>
      </c>
      <c r="Z20" s="88">
        <v>1.09</v>
      </c>
      <c r="AA20" s="89">
        <v>1.19</v>
      </c>
      <c r="AB20" s="88">
        <v>1.28</v>
      </c>
      <c r="AC20" s="89">
        <v>1.39</v>
      </c>
      <c r="AD20" s="88">
        <v>1.49</v>
      </c>
      <c r="AE20" s="89">
        <v>1.62</v>
      </c>
      <c r="AF20" s="88">
        <v>1.74</v>
      </c>
      <c r="AG20" s="89">
        <v>1.88</v>
      </c>
      <c r="AH20" s="88">
        <v>2.01</v>
      </c>
      <c r="AI20" s="89">
        <v>2.16</v>
      </c>
      <c r="AJ20" s="88">
        <v>2.3</v>
      </c>
      <c r="AK20" s="89">
        <v>2.45</v>
      </c>
      <c r="AL20" s="88"/>
      <c r="AM20" s="89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1:54" ht="12.75">
      <c r="A21" s="90" t="str">
        <f t="shared" si="1"/>
        <v>ASW 22/24  [IDA] (32,8)</v>
      </c>
      <c r="B21" s="87" t="s">
        <v>102</v>
      </c>
      <c r="C21" s="88" t="s">
        <v>103</v>
      </c>
      <c r="D21" s="92" t="s">
        <v>77</v>
      </c>
      <c r="E21" s="88">
        <v>32.8</v>
      </c>
      <c r="F21" s="88" t="s">
        <v>74</v>
      </c>
      <c r="G21" s="89"/>
      <c r="H21" s="88"/>
      <c r="I21" s="89"/>
      <c r="J21" s="88"/>
      <c r="K21" s="89"/>
      <c r="L21" s="88"/>
      <c r="M21" s="89"/>
      <c r="N21" s="88">
        <v>0.44</v>
      </c>
      <c r="O21" s="89">
        <v>0.43</v>
      </c>
      <c r="P21" s="88">
        <v>0.43</v>
      </c>
      <c r="Q21" s="89">
        <v>0.44</v>
      </c>
      <c r="R21" s="88">
        <v>0.47</v>
      </c>
      <c r="S21" s="89">
        <v>0.5</v>
      </c>
      <c r="T21" s="88">
        <v>0.56</v>
      </c>
      <c r="U21" s="89">
        <v>0.63</v>
      </c>
      <c r="V21" s="88">
        <v>0.68</v>
      </c>
      <c r="W21" s="89">
        <v>0.76</v>
      </c>
      <c r="X21" s="88">
        <v>0.85</v>
      </c>
      <c r="Y21" s="89">
        <v>0.94</v>
      </c>
      <c r="Z21" s="88">
        <v>1.03</v>
      </c>
      <c r="AA21" s="89">
        <v>1.11</v>
      </c>
      <c r="AB21" s="88">
        <v>1.2</v>
      </c>
      <c r="AC21" s="89">
        <v>1.28</v>
      </c>
      <c r="AD21" s="88">
        <v>1.38</v>
      </c>
      <c r="AE21" s="89">
        <v>1.47</v>
      </c>
      <c r="AF21" s="88">
        <v>1.56</v>
      </c>
      <c r="AG21" s="89">
        <v>1.66</v>
      </c>
      <c r="AH21" s="88">
        <v>1.77</v>
      </c>
      <c r="AI21" s="89">
        <v>1.88</v>
      </c>
      <c r="AJ21" s="88">
        <v>2.02</v>
      </c>
      <c r="AK21" s="89">
        <v>2.14</v>
      </c>
      <c r="AL21" s="88">
        <v>2.32</v>
      </c>
      <c r="AM21" s="89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1:54" ht="12.75">
      <c r="A22" s="90" t="str">
        <f t="shared" si="1"/>
        <v>ASW 22M  [IDA] (40,2)</v>
      </c>
      <c r="B22" s="87" t="s">
        <v>104</v>
      </c>
      <c r="C22" s="88" t="s">
        <v>105</v>
      </c>
      <c r="D22" s="92" t="s">
        <v>77</v>
      </c>
      <c r="E22" s="88">
        <v>40.2</v>
      </c>
      <c r="F22" s="88" t="s">
        <v>74</v>
      </c>
      <c r="G22" s="89"/>
      <c r="H22" s="88"/>
      <c r="I22" s="89"/>
      <c r="J22" s="88"/>
      <c r="K22" s="89"/>
      <c r="L22" s="88"/>
      <c r="M22" s="89"/>
      <c r="N22" s="88">
        <v>0.54</v>
      </c>
      <c r="O22" s="89">
        <v>0.51</v>
      </c>
      <c r="P22" s="88">
        <v>0.49</v>
      </c>
      <c r="Q22" s="89">
        <v>0.5</v>
      </c>
      <c r="R22" s="88">
        <v>0.52</v>
      </c>
      <c r="S22" s="89">
        <v>0.54</v>
      </c>
      <c r="T22" s="88">
        <v>0.57</v>
      </c>
      <c r="U22" s="89">
        <v>0.6</v>
      </c>
      <c r="V22" s="88">
        <v>0.65</v>
      </c>
      <c r="W22" s="89">
        <v>0.69</v>
      </c>
      <c r="X22" s="88">
        <v>0.75</v>
      </c>
      <c r="Y22" s="89">
        <v>0.8</v>
      </c>
      <c r="Z22" s="88">
        <v>0.87</v>
      </c>
      <c r="AA22" s="89">
        <v>0.96</v>
      </c>
      <c r="AB22" s="88">
        <v>1.04</v>
      </c>
      <c r="AC22" s="89">
        <v>1.13</v>
      </c>
      <c r="AD22" s="88">
        <v>1.22</v>
      </c>
      <c r="AE22" s="89">
        <v>1.31</v>
      </c>
      <c r="AF22" s="88">
        <v>1.4</v>
      </c>
      <c r="AG22" s="89">
        <v>1.5</v>
      </c>
      <c r="AH22" s="88">
        <v>1.6</v>
      </c>
      <c r="AI22" s="89">
        <v>1.69</v>
      </c>
      <c r="AJ22" s="88">
        <v>1.8</v>
      </c>
      <c r="AK22" s="89">
        <v>1.9</v>
      </c>
      <c r="AL22" s="88">
        <v>2.01</v>
      </c>
      <c r="AM22" s="89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54" ht="12.75">
      <c r="A23" s="90" t="str">
        <f t="shared" si="1"/>
        <v>Berfalke lV  [IDA] (26,2)</v>
      </c>
      <c r="B23" s="87" t="s">
        <v>106</v>
      </c>
      <c r="C23" s="88" t="s">
        <v>107</v>
      </c>
      <c r="D23" s="92" t="s">
        <v>77</v>
      </c>
      <c r="E23" s="88">
        <v>26.2</v>
      </c>
      <c r="F23" s="88" t="s">
        <v>74</v>
      </c>
      <c r="G23" s="89"/>
      <c r="H23" s="88"/>
      <c r="I23" s="89"/>
      <c r="J23" s="88"/>
      <c r="K23" s="89"/>
      <c r="L23" s="88"/>
      <c r="M23" s="89">
        <v>0.91</v>
      </c>
      <c r="N23" s="88">
        <v>0.85</v>
      </c>
      <c r="O23" s="89">
        <v>0.87</v>
      </c>
      <c r="P23" s="88">
        <v>0.92</v>
      </c>
      <c r="Q23" s="89">
        <v>0.97</v>
      </c>
      <c r="R23" s="88">
        <v>1.03</v>
      </c>
      <c r="S23" s="89">
        <v>1.12</v>
      </c>
      <c r="T23" s="88">
        <v>1.22</v>
      </c>
      <c r="U23" s="89">
        <v>1.32</v>
      </c>
      <c r="V23" s="88">
        <v>1.45</v>
      </c>
      <c r="W23" s="89">
        <v>1.59</v>
      </c>
      <c r="X23" s="88">
        <v>1.74</v>
      </c>
      <c r="Y23" s="89">
        <v>1.89</v>
      </c>
      <c r="Z23" s="88">
        <v>2.05</v>
      </c>
      <c r="AA23" s="89">
        <v>2.21</v>
      </c>
      <c r="AB23" s="88">
        <v>2.38</v>
      </c>
      <c r="AC23" s="89">
        <v>2.56</v>
      </c>
      <c r="AD23" s="88">
        <v>2.77</v>
      </c>
      <c r="AE23" s="89"/>
      <c r="AF23" s="88"/>
      <c r="AG23" s="89"/>
      <c r="AH23" s="88"/>
      <c r="AI23" s="89"/>
      <c r="AJ23" s="88"/>
      <c r="AK23" s="89"/>
      <c r="AL23" s="88"/>
      <c r="AM23" s="89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ht="12.75">
      <c r="A24" s="90" t="str">
        <f t="shared" si="1"/>
        <v>Bergfalke ll  [IDA] (24,3)</v>
      </c>
      <c r="B24" s="87" t="s">
        <v>108</v>
      </c>
      <c r="C24" s="88" t="s">
        <v>109</v>
      </c>
      <c r="D24" s="92" t="s">
        <v>77</v>
      </c>
      <c r="E24" s="88">
        <v>24.3</v>
      </c>
      <c r="F24" s="88" t="s">
        <v>74</v>
      </c>
      <c r="G24" s="89"/>
      <c r="H24" s="88"/>
      <c r="I24" s="89"/>
      <c r="J24" s="88"/>
      <c r="K24" s="89">
        <v>1.11</v>
      </c>
      <c r="L24" s="88">
        <v>0.95</v>
      </c>
      <c r="M24" s="89">
        <v>0.91</v>
      </c>
      <c r="N24" s="88">
        <v>0.94</v>
      </c>
      <c r="O24" s="89">
        <v>0.96</v>
      </c>
      <c r="P24" s="88">
        <v>1.02</v>
      </c>
      <c r="Q24" s="89">
        <v>1.1</v>
      </c>
      <c r="R24" s="88">
        <v>1.2</v>
      </c>
      <c r="S24" s="89">
        <v>1.32</v>
      </c>
      <c r="T24" s="88">
        <v>1.46</v>
      </c>
      <c r="U24" s="89">
        <v>1.61</v>
      </c>
      <c r="V24" s="88">
        <v>1.78</v>
      </c>
      <c r="W24" s="89">
        <v>1.96</v>
      </c>
      <c r="X24" s="88">
        <v>2.16</v>
      </c>
      <c r="Y24" s="89">
        <v>2.36</v>
      </c>
      <c r="Z24" s="88">
        <v>2.59</v>
      </c>
      <c r="AA24" s="89">
        <v>2.86</v>
      </c>
      <c r="AB24" s="88">
        <v>3.13</v>
      </c>
      <c r="AC24" s="89">
        <v>3.42</v>
      </c>
      <c r="AD24" s="88">
        <v>3.73</v>
      </c>
      <c r="AE24" s="89"/>
      <c r="AF24" s="88"/>
      <c r="AG24" s="89"/>
      <c r="AH24" s="88"/>
      <c r="AI24" s="89"/>
      <c r="AJ24" s="88"/>
      <c r="AK24" s="89"/>
      <c r="AL24" s="88"/>
      <c r="AM24" s="89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</row>
    <row r="25" spans="1:54" ht="12.75">
      <c r="A25" s="90" t="str">
        <f t="shared" si="1"/>
        <v>Blanik L13  [GB] (26,1)</v>
      </c>
      <c r="B25" s="87" t="s">
        <v>110</v>
      </c>
      <c r="C25" s="88"/>
      <c r="D25" s="92" t="s">
        <v>111</v>
      </c>
      <c r="E25" s="88">
        <v>26.1</v>
      </c>
      <c r="F25" s="88" t="s">
        <v>79</v>
      </c>
      <c r="G25" s="89"/>
      <c r="H25" s="88"/>
      <c r="I25" s="89"/>
      <c r="J25" s="88"/>
      <c r="K25" s="89"/>
      <c r="L25" s="88"/>
      <c r="M25" s="89"/>
      <c r="N25" s="88"/>
      <c r="O25" s="89"/>
      <c r="P25" s="88"/>
      <c r="Q25" s="89">
        <v>1.6</v>
      </c>
      <c r="R25" s="88">
        <f>(Q25+S25)/2</f>
        <v>1.6800000000000002</v>
      </c>
      <c r="S25" s="89">
        <v>1.76</v>
      </c>
      <c r="T25" s="88">
        <f>(S25+U25)/2</f>
        <v>1.8849999999999998</v>
      </c>
      <c r="U25" s="89">
        <v>2.01</v>
      </c>
      <c r="V25" s="88">
        <f>(U25+W25)/2</f>
        <v>2.1849999999999996</v>
      </c>
      <c r="W25" s="89">
        <v>2.36</v>
      </c>
      <c r="X25" s="88">
        <f>(W25+Y25)/2</f>
        <v>2.585</v>
      </c>
      <c r="Y25" s="89">
        <v>2.81</v>
      </c>
      <c r="Z25" s="88">
        <f>(Y25+AA25)/2</f>
        <v>3.075</v>
      </c>
      <c r="AA25" s="89">
        <v>3.34</v>
      </c>
      <c r="AB25" s="88">
        <f>(AA25+AC25)/2</f>
        <v>3.6550000000000002</v>
      </c>
      <c r="AC25" s="89">
        <v>3.97</v>
      </c>
      <c r="AD25" s="88">
        <f>(AC25+AE25)/2</f>
        <v>4.335</v>
      </c>
      <c r="AE25" s="89">
        <v>4.7</v>
      </c>
      <c r="AF25" s="88">
        <f>(AE25+AG25)/2</f>
        <v>5.105</v>
      </c>
      <c r="AG25" s="89">
        <v>5.51</v>
      </c>
      <c r="AH25" s="88">
        <f>(AG25+AI25)/2</f>
        <v>5.965</v>
      </c>
      <c r="AI25" s="89">
        <v>6.42</v>
      </c>
      <c r="AJ25" s="88">
        <f>(AI25+AK25)/2</f>
        <v>6.915</v>
      </c>
      <c r="AK25" s="89">
        <v>7.41</v>
      </c>
      <c r="AL25" s="88">
        <f>(AK25+AM25)/2</f>
        <v>7.955</v>
      </c>
      <c r="AM25" s="89">
        <v>8.5</v>
      </c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</row>
    <row r="26" spans="1:54" ht="12.75">
      <c r="A26" s="90" t="str">
        <f t="shared" si="1"/>
        <v>Calif A21S  [IDA] (39,2)</v>
      </c>
      <c r="B26" s="87" t="s">
        <v>112</v>
      </c>
      <c r="C26" s="88" t="s">
        <v>113</v>
      </c>
      <c r="D26" s="92" t="s">
        <v>77</v>
      </c>
      <c r="E26" s="88">
        <v>39.2</v>
      </c>
      <c r="F26" s="88" t="s">
        <v>74</v>
      </c>
      <c r="G26" s="89"/>
      <c r="H26" s="88"/>
      <c r="I26" s="89"/>
      <c r="J26" s="88"/>
      <c r="K26" s="89"/>
      <c r="L26" s="88"/>
      <c r="M26" s="89"/>
      <c r="N26" s="88">
        <v>0.83</v>
      </c>
      <c r="O26" s="89">
        <v>0.69</v>
      </c>
      <c r="P26" s="88">
        <v>0.7</v>
      </c>
      <c r="Q26" s="89">
        <v>0.72</v>
      </c>
      <c r="R26" s="88">
        <v>0.74</v>
      </c>
      <c r="S26" s="89">
        <v>0.76</v>
      </c>
      <c r="T26" s="88">
        <v>0.78</v>
      </c>
      <c r="U26" s="89">
        <v>0.81</v>
      </c>
      <c r="V26" s="88">
        <v>0.85</v>
      </c>
      <c r="W26" s="89">
        <v>0.88</v>
      </c>
      <c r="X26" s="88">
        <v>0.93</v>
      </c>
      <c r="Y26" s="89">
        <v>0.98</v>
      </c>
      <c r="Z26" s="88">
        <v>1.03</v>
      </c>
      <c r="AA26" s="89">
        <v>1.09</v>
      </c>
      <c r="AB26" s="88">
        <v>1.18</v>
      </c>
      <c r="AC26" s="89">
        <v>1.26</v>
      </c>
      <c r="AD26" s="88">
        <v>1.35</v>
      </c>
      <c r="AE26" s="89">
        <v>1.45</v>
      </c>
      <c r="AF26" s="88">
        <v>1.57</v>
      </c>
      <c r="AG26" s="89">
        <v>1.69</v>
      </c>
      <c r="AH26" s="88">
        <v>1.82</v>
      </c>
      <c r="AI26" s="89">
        <v>1.95</v>
      </c>
      <c r="AJ26" s="88"/>
      <c r="AK26" s="89"/>
      <c r="AL26" s="88"/>
      <c r="AM26" s="89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</row>
    <row r="27" spans="1:54" ht="12.75">
      <c r="A27" s="90" t="str">
        <f t="shared" si="1"/>
        <v>Cirrus  [IDA] (29)</v>
      </c>
      <c r="B27" s="87" t="s">
        <v>114</v>
      </c>
      <c r="C27" s="88" t="s">
        <v>115</v>
      </c>
      <c r="D27" s="92" t="s">
        <v>77</v>
      </c>
      <c r="E27" s="88">
        <v>29</v>
      </c>
      <c r="F27" s="88" t="s">
        <v>74</v>
      </c>
      <c r="G27" s="89"/>
      <c r="H27" s="88"/>
      <c r="I27" s="89"/>
      <c r="J27" s="88"/>
      <c r="K27" s="89"/>
      <c r="L27" s="88"/>
      <c r="M27" s="89">
        <v>0.72</v>
      </c>
      <c r="N27" s="88">
        <v>0.65</v>
      </c>
      <c r="O27" s="89">
        <v>0.63</v>
      </c>
      <c r="P27" s="88">
        <v>0.64</v>
      </c>
      <c r="Q27" s="89">
        <v>0.67</v>
      </c>
      <c r="R27" s="88">
        <v>0.71</v>
      </c>
      <c r="S27" s="89">
        <v>0.77</v>
      </c>
      <c r="T27" s="88">
        <v>0.84</v>
      </c>
      <c r="U27" s="89">
        <v>0.92</v>
      </c>
      <c r="V27" s="88">
        <v>1.02</v>
      </c>
      <c r="W27" s="89">
        <v>1.11</v>
      </c>
      <c r="X27" s="88">
        <v>1.23</v>
      </c>
      <c r="Y27" s="89">
        <v>1.34</v>
      </c>
      <c r="Z27" s="88">
        <v>1.46</v>
      </c>
      <c r="AA27" s="89">
        <v>1.59</v>
      </c>
      <c r="AB27" s="88">
        <v>1.73</v>
      </c>
      <c r="AC27" s="89">
        <v>1.89</v>
      </c>
      <c r="AD27" s="88">
        <v>2.05</v>
      </c>
      <c r="AE27" s="89">
        <v>2.24</v>
      </c>
      <c r="AF27" s="88">
        <v>2.43</v>
      </c>
      <c r="AG27" s="89">
        <v>2.64</v>
      </c>
      <c r="AH27" s="88">
        <v>2.87</v>
      </c>
      <c r="AI27" s="89">
        <v>3.12</v>
      </c>
      <c r="AJ27" s="88">
        <v>3.39</v>
      </c>
      <c r="AK27" s="89">
        <v>3.67</v>
      </c>
      <c r="AL27" s="88">
        <v>3.96</v>
      </c>
      <c r="AM27" s="89">
        <v>4.28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</row>
    <row r="28" spans="1:54" ht="12.75">
      <c r="A28" s="90" t="str">
        <f t="shared" si="1"/>
        <v>DG 100  [IDA] (30)</v>
      </c>
      <c r="B28" s="87" t="s">
        <v>116</v>
      </c>
      <c r="C28" s="88" t="s">
        <v>117</v>
      </c>
      <c r="D28" s="92" t="s">
        <v>77</v>
      </c>
      <c r="E28" s="88">
        <v>30</v>
      </c>
      <c r="F28" s="88" t="s">
        <v>74</v>
      </c>
      <c r="G28" s="89"/>
      <c r="H28" s="88"/>
      <c r="I28" s="89"/>
      <c r="J28" s="88"/>
      <c r="K28" s="89"/>
      <c r="L28" s="88"/>
      <c r="M28" s="89">
        <v>0.73</v>
      </c>
      <c r="N28" s="88">
        <v>0.61</v>
      </c>
      <c r="O28" s="89">
        <v>0.62</v>
      </c>
      <c r="P28" s="88">
        <v>0.64</v>
      </c>
      <c r="Q28" s="89">
        <v>0.67</v>
      </c>
      <c r="R28" s="88">
        <v>0.71</v>
      </c>
      <c r="S28" s="89">
        <v>0.76</v>
      </c>
      <c r="T28" s="88">
        <v>0.83</v>
      </c>
      <c r="U28" s="89">
        <v>0.89</v>
      </c>
      <c r="V28" s="88">
        <v>0.98</v>
      </c>
      <c r="W28" s="89">
        <v>1.07</v>
      </c>
      <c r="X28" s="88">
        <v>1.16</v>
      </c>
      <c r="Y28" s="89">
        <v>1.27</v>
      </c>
      <c r="Z28" s="88">
        <v>1.39</v>
      </c>
      <c r="AA28" s="89">
        <v>1.51</v>
      </c>
      <c r="AB28" s="88">
        <v>1.65</v>
      </c>
      <c r="AC28" s="89">
        <v>1.79</v>
      </c>
      <c r="AD28" s="88">
        <v>1.95</v>
      </c>
      <c r="AE28" s="89">
        <v>2.11</v>
      </c>
      <c r="AF28" s="88">
        <v>2.29</v>
      </c>
      <c r="AG28" s="89">
        <v>2.48</v>
      </c>
      <c r="AH28" s="88">
        <v>2.68</v>
      </c>
      <c r="AI28" s="89"/>
      <c r="AJ28" s="88"/>
      <c r="AK28" s="89"/>
      <c r="AL28" s="88"/>
      <c r="AM28" s="89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1:54" ht="12.75">
      <c r="A29" s="90" t="str">
        <f t="shared" si="1"/>
        <v>DG 100  [IDA] (30,25)</v>
      </c>
      <c r="B29" s="87" t="s">
        <v>116</v>
      </c>
      <c r="C29" s="88" t="s">
        <v>118</v>
      </c>
      <c r="D29" s="92" t="s">
        <v>77</v>
      </c>
      <c r="E29" s="88">
        <v>30.25</v>
      </c>
      <c r="F29" s="88" t="s">
        <v>74</v>
      </c>
      <c r="G29" s="89"/>
      <c r="H29" s="88"/>
      <c r="I29" s="89"/>
      <c r="J29" s="88"/>
      <c r="K29" s="89"/>
      <c r="L29" s="88"/>
      <c r="M29" s="89">
        <v>0.75</v>
      </c>
      <c r="N29" s="88">
        <v>0.62</v>
      </c>
      <c r="O29" s="89">
        <v>0.62</v>
      </c>
      <c r="P29" s="88">
        <v>0.64</v>
      </c>
      <c r="Q29" s="89">
        <v>0.66</v>
      </c>
      <c r="R29" s="88">
        <v>0.71</v>
      </c>
      <c r="S29" s="89">
        <v>0.77</v>
      </c>
      <c r="T29" s="88">
        <v>0.84</v>
      </c>
      <c r="U29" s="89">
        <v>0.92</v>
      </c>
      <c r="V29" s="88">
        <v>1</v>
      </c>
      <c r="W29" s="89">
        <v>1.1</v>
      </c>
      <c r="X29" s="88">
        <v>1.2</v>
      </c>
      <c r="Y29" s="89">
        <v>1.3</v>
      </c>
      <c r="Z29" s="88">
        <v>1.43</v>
      </c>
      <c r="AA29" s="89">
        <v>1.55</v>
      </c>
      <c r="AB29" s="88">
        <v>1.7</v>
      </c>
      <c r="AC29" s="89">
        <v>1.85</v>
      </c>
      <c r="AD29" s="88">
        <v>2.01</v>
      </c>
      <c r="AE29" s="89">
        <v>2.17</v>
      </c>
      <c r="AF29" s="88">
        <v>2.34</v>
      </c>
      <c r="AG29" s="89"/>
      <c r="AH29" s="88"/>
      <c r="AI29" s="89"/>
      <c r="AJ29" s="88"/>
      <c r="AK29" s="89"/>
      <c r="AL29" s="88"/>
      <c r="AM29" s="89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1:54" ht="12.75">
      <c r="A30" s="90" t="str">
        <f t="shared" si="1"/>
        <v>DG 100  [IDA] (30,48)</v>
      </c>
      <c r="B30" s="91" t="s">
        <v>116</v>
      </c>
      <c r="C30"/>
      <c r="D30" s="92" t="s">
        <v>77</v>
      </c>
      <c r="E30" s="97">
        <v>30.48</v>
      </c>
      <c r="F30" s="88" t="s">
        <v>79</v>
      </c>
      <c r="G30" s="89"/>
      <c r="H30" s="88"/>
      <c r="I30" s="89"/>
      <c r="J30" s="88"/>
      <c r="K30" s="89"/>
      <c r="L30" s="88"/>
      <c r="M30" s="89">
        <v>1.3979220627849152</v>
      </c>
      <c r="N30" s="93">
        <v>1.1712319985495234</v>
      </c>
      <c r="O30" s="89">
        <v>1.2090136759220889</v>
      </c>
      <c r="P30" s="93">
        <v>1.246795353294654</v>
      </c>
      <c r="Q30" s="89">
        <v>1.2845770306672193</v>
      </c>
      <c r="R30" s="93">
        <v>1.36014038541235</v>
      </c>
      <c r="S30" s="89">
        <v>1.4734854175300458</v>
      </c>
      <c r="T30" s="93">
        <v>1.5868304496477414</v>
      </c>
      <c r="U30" s="89">
        <v>1.7001754817654373</v>
      </c>
      <c r="V30" s="93">
        <v>1.8890838686282638</v>
      </c>
      <c r="W30" s="89">
        <v>2.07799225549109</v>
      </c>
      <c r="X30" s="93">
        <v>2.229118964981351</v>
      </c>
      <c r="Y30" s="89">
        <v>2.455809029216743</v>
      </c>
      <c r="Z30" s="93">
        <v>2.6824990934521344</v>
      </c>
      <c r="AA30" s="89">
        <v>2.909189157687526</v>
      </c>
      <c r="AB30" s="93">
        <v>3.173660899295483</v>
      </c>
      <c r="AC30" s="89">
        <v>3.43813264090344</v>
      </c>
      <c r="AD30" s="93">
        <v>3.740386059883962</v>
      </c>
      <c r="AE30" s="89">
        <v>4.080421156237049</v>
      </c>
      <c r="AF30" s="93">
        <v>4.420456252590137</v>
      </c>
      <c r="AG30" s="89">
        <v>4.760491348943225</v>
      </c>
      <c r="AH30" s="93">
        <v>5.138308122668877</v>
      </c>
      <c r="AI30" s="89"/>
      <c r="AJ30" s="93"/>
      <c r="AK30" s="89"/>
      <c r="AL30" s="88"/>
      <c r="AM30" s="89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1:54" ht="12.75">
      <c r="A31" s="90" t="str">
        <f t="shared" si="1"/>
        <v>DG 100G  [IDA] (30,48)</v>
      </c>
      <c r="B31" s="87" t="s">
        <v>119</v>
      </c>
      <c r="C31" s="88" t="s">
        <v>120</v>
      </c>
      <c r="D31" s="92" t="s">
        <v>77</v>
      </c>
      <c r="E31" s="88">
        <v>30.48</v>
      </c>
      <c r="F31" s="88" t="s">
        <v>74</v>
      </c>
      <c r="G31" s="89"/>
      <c r="H31" s="88"/>
      <c r="I31" s="89"/>
      <c r="J31" s="88"/>
      <c r="K31" s="89"/>
      <c r="L31" s="88"/>
      <c r="M31" s="89">
        <v>0.7</v>
      </c>
      <c r="N31" s="88">
        <v>0.64</v>
      </c>
      <c r="O31" s="89">
        <v>0.64</v>
      </c>
      <c r="P31" s="88">
        <v>0.64</v>
      </c>
      <c r="Q31" s="89">
        <v>0.66</v>
      </c>
      <c r="R31" s="88">
        <v>0.69</v>
      </c>
      <c r="S31" s="89">
        <v>0.73</v>
      </c>
      <c r="T31" s="88">
        <v>0.78</v>
      </c>
      <c r="U31" s="89">
        <v>0.85</v>
      </c>
      <c r="V31" s="88">
        <v>0.91</v>
      </c>
      <c r="W31" s="89">
        <v>1.01</v>
      </c>
      <c r="X31" s="88">
        <v>1.13</v>
      </c>
      <c r="Y31" s="89">
        <v>1.22</v>
      </c>
      <c r="Z31" s="88">
        <v>1.34</v>
      </c>
      <c r="AA31" s="89">
        <v>1.46</v>
      </c>
      <c r="AB31" s="88">
        <v>1.58</v>
      </c>
      <c r="AC31" s="89">
        <v>1.71</v>
      </c>
      <c r="AD31" s="88">
        <v>1.83</v>
      </c>
      <c r="AE31" s="89">
        <v>1.99</v>
      </c>
      <c r="AF31" s="88">
        <v>2.15</v>
      </c>
      <c r="AG31" s="89">
        <v>2.32</v>
      </c>
      <c r="AH31" s="88">
        <v>2.5</v>
      </c>
      <c r="AI31" s="89">
        <v>2.71</v>
      </c>
      <c r="AJ31" s="88">
        <v>2.9</v>
      </c>
      <c r="AK31" s="89">
        <v>3.12</v>
      </c>
      <c r="AL31" s="88">
        <v>3.37</v>
      </c>
      <c r="AM31" s="89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54" ht="12.75">
      <c r="A32" s="90" t="str">
        <f t="shared" si="1"/>
        <v>DG 200  [IDA] (34)</v>
      </c>
      <c r="B32" s="87" t="s">
        <v>121</v>
      </c>
      <c r="C32" s="88" t="s">
        <v>122</v>
      </c>
      <c r="D32" s="92" t="s">
        <v>77</v>
      </c>
      <c r="E32" s="88">
        <v>34</v>
      </c>
      <c r="F32" s="88" t="s">
        <v>74</v>
      </c>
      <c r="G32" s="89"/>
      <c r="H32" s="88"/>
      <c r="I32" s="89"/>
      <c r="J32" s="88"/>
      <c r="K32" s="89"/>
      <c r="L32" s="88"/>
      <c r="M32" s="89">
        <v>0.69</v>
      </c>
      <c r="N32" s="88">
        <v>0.67</v>
      </c>
      <c r="O32" s="89">
        <v>0.65</v>
      </c>
      <c r="P32" s="88">
        <v>0.64</v>
      </c>
      <c r="Q32" s="89">
        <v>0.65</v>
      </c>
      <c r="R32" s="88">
        <v>0.68</v>
      </c>
      <c r="S32" s="89">
        <v>0.7</v>
      </c>
      <c r="T32" s="88">
        <v>0.73</v>
      </c>
      <c r="U32" s="89">
        <v>0.78</v>
      </c>
      <c r="V32" s="88">
        <v>0.84</v>
      </c>
      <c r="W32" s="89">
        <v>0.89</v>
      </c>
      <c r="X32" s="88">
        <v>0.97</v>
      </c>
      <c r="Y32" s="89">
        <v>1.06</v>
      </c>
      <c r="Z32" s="88">
        <v>1.14</v>
      </c>
      <c r="AA32" s="89">
        <v>1.24</v>
      </c>
      <c r="AB32" s="88">
        <v>1.35</v>
      </c>
      <c r="AC32" s="89">
        <v>1.46</v>
      </c>
      <c r="AD32" s="88">
        <v>1.56</v>
      </c>
      <c r="AE32" s="89">
        <v>1.7</v>
      </c>
      <c r="AF32" s="88">
        <v>1.83</v>
      </c>
      <c r="AG32" s="89">
        <v>1.94</v>
      </c>
      <c r="AH32" s="88">
        <v>2.05</v>
      </c>
      <c r="AI32" s="89">
        <v>2.18</v>
      </c>
      <c r="AJ32" s="88">
        <v>2.31</v>
      </c>
      <c r="AK32" s="89">
        <v>2.45</v>
      </c>
      <c r="AL32" s="88"/>
      <c r="AM32" s="89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1:54" ht="12.75">
      <c r="A33" s="90" t="str">
        <f t="shared" si="1"/>
        <v>DG 300  [IDA] (33,2)</v>
      </c>
      <c r="B33" s="87" t="s">
        <v>123</v>
      </c>
      <c r="C33" s="88" t="s">
        <v>124</v>
      </c>
      <c r="D33" s="92" t="s">
        <v>77</v>
      </c>
      <c r="E33" s="88">
        <v>33.2</v>
      </c>
      <c r="F33" s="88" t="s">
        <v>74</v>
      </c>
      <c r="G33" s="89"/>
      <c r="H33" s="88"/>
      <c r="I33" s="89"/>
      <c r="J33" s="88"/>
      <c r="K33" s="89"/>
      <c r="L33" s="88"/>
      <c r="M33" s="89">
        <v>0.69</v>
      </c>
      <c r="N33" s="88">
        <v>0.63</v>
      </c>
      <c r="O33" s="89">
        <v>0.6</v>
      </c>
      <c r="P33" s="88">
        <v>0.6</v>
      </c>
      <c r="Q33" s="89">
        <v>0.62</v>
      </c>
      <c r="R33" s="88">
        <v>0.65</v>
      </c>
      <c r="S33" s="89">
        <v>0.69</v>
      </c>
      <c r="T33" s="88">
        <v>0.75</v>
      </c>
      <c r="U33" s="89">
        <v>0.8</v>
      </c>
      <c r="V33" s="88">
        <v>0.87</v>
      </c>
      <c r="W33" s="89">
        <v>0.95</v>
      </c>
      <c r="X33" s="88">
        <v>1.02</v>
      </c>
      <c r="Y33" s="89">
        <v>1.1</v>
      </c>
      <c r="Z33" s="88">
        <v>1.2</v>
      </c>
      <c r="AA33" s="89">
        <v>1.29</v>
      </c>
      <c r="AB33" s="88">
        <v>1.41</v>
      </c>
      <c r="AC33" s="89">
        <v>1.53</v>
      </c>
      <c r="AD33" s="88">
        <v>1.67</v>
      </c>
      <c r="AE33" s="89">
        <v>1.84</v>
      </c>
      <c r="AF33" s="88">
        <v>2.03</v>
      </c>
      <c r="AG33" s="89">
        <v>2.24</v>
      </c>
      <c r="AH33" s="88">
        <v>2.48</v>
      </c>
      <c r="AI33" s="89">
        <v>2.68</v>
      </c>
      <c r="AJ33" s="88">
        <v>2.94</v>
      </c>
      <c r="AK33" s="89">
        <v>3.2</v>
      </c>
      <c r="AL33" s="88">
        <v>3.45</v>
      </c>
      <c r="AM33" s="89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54" ht="12.75">
      <c r="A34" s="90" t="str">
        <f t="shared" si="1"/>
        <v>DG 400/17  [IDA] (38,4)</v>
      </c>
      <c r="B34" s="87" t="s">
        <v>125</v>
      </c>
      <c r="C34" s="88" t="s">
        <v>126</v>
      </c>
      <c r="D34" s="92" t="s">
        <v>77</v>
      </c>
      <c r="E34" s="88">
        <v>38.4</v>
      </c>
      <c r="F34" s="88" t="s">
        <v>74</v>
      </c>
      <c r="G34" s="89"/>
      <c r="H34" s="88"/>
      <c r="I34" s="89"/>
      <c r="J34" s="88"/>
      <c r="K34" s="89"/>
      <c r="L34" s="88"/>
      <c r="M34" s="89"/>
      <c r="N34" s="88">
        <v>0.57</v>
      </c>
      <c r="O34" s="89">
        <v>0.55</v>
      </c>
      <c r="P34" s="88">
        <v>0.55</v>
      </c>
      <c r="Q34" s="89">
        <v>0.58</v>
      </c>
      <c r="R34" s="88">
        <v>0.6</v>
      </c>
      <c r="S34" s="89">
        <v>0.64</v>
      </c>
      <c r="T34" s="88">
        <v>0.73</v>
      </c>
      <c r="U34" s="89">
        <v>0.8</v>
      </c>
      <c r="V34" s="88">
        <v>0.86</v>
      </c>
      <c r="W34" s="89">
        <v>0.94</v>
      </c>
      <c r="X34" s="88">
        <v>1.01</v>
      </c>
      <c r="Y34" s="89">
        <v>1.11</v>
      </c>
      <c r="Z34" s="88">
        <v>1.2</v>
      </c>
      <c r="AA34" s="89">
        <v>1.29</v>
      </c>
      <c r="AB34" s="88">
        <v>1.39</v>
      </c>
      <c r="AC34" s="89">
        <v>1.49</v>
      </c>
      <c r="AD34" s="88">
        <v>1.62</v>
      </c>
      <c r="AE34" s="89">
        <v>1.73</v>
      </c>
      <c r="AF34" s="88">
        <v>1.86</v>
      </c>
      <c r="AG34" s="89">
        <v>1.99</v>
      </c>
      <c r="AH34" s="88">
        <v>2.12</v>
      </c>
      <c r="AI34" s="89">
        <v>2.25</v>
      </c>
      <c r="AJ34" s="88">
        <v>2.4</v>
      </c>
      <c r="AK34" s="89">
        <v>2.56</v>
      </c>
      <c r="AL34" s="88"/>
      <c r="AM34" s="89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ht="12.75">
      <c r="A35" s="90" t="str">
        <f t="shared" si="1"/>
        <v>Diamant 16.5  [IDA] (30,2)</v>
      </c>
      <c r="B35" s="87" t="s">
        <v>127</v>
      </c>
      <c r="C35" s="88" t="s">
        <v>128</v>
      </c>
      <c r="D35" s="92" t="s">
        <v>77</v>
      </c>
      <c r="E35" s="88">
        <v>30.2</v>
      </c>
      <c r="F35" s="88" t="s">
        <v>74</v>
      </c>
      <c r="G35" s="89"/>
      <c r="H35" s="88"/>
      <c r="I35" s="89"/>
      <c r="J35" s="88"/>
      <c r="K35" s="89"/>
      <c r="L35" s="88"/>
      <c r="M35" s="89">
        <v>0.67</v>
      </c>
      <c r="N35" s="88">
        <v>0.63</v>
      </c>
      <c r="O35" s="89">
        <v>0.62</v>
      </c>
      <c r="P35" s="88">
        <v>0.6</v>
      </c>
      <c r="Q35" s="89">
        <v>0.62</v>
      </c>
      <c r="R35" s="88">
        <v>0.65</v>
      </c>
      <c r="S35" s="89">
        <v>0.69</v>
      </c>
      <c r="T35" s="88">
        <v>0.73</v>
      </c>
      <c r="U35" s="89">
        <v>0.8</v>
      </c>
      <c r="V35" s="88">
        <v>0.87</v>
      </c>
      <c r="W35" s="89">
        <v>0.95</v>
      </c>
      <c r="X35" s="88">
        <v>1.05</v>
      </c>
      <c r="Y35" s="89">
        <v>1.15</v>
      </c>
      <c r="Z35" s="88">
        <v>1.25</v>
      </c>
      <c r="AA35" s="89">
        <v>1.36</v>
      </c>
      <c r="AB35" s="88">
        <v>1.48</v>
      </c>
      <c r="AC35" s="89">
        <v>1.64</v>
      </c>
      <c r="AD35" s="88">
        <v>1.79</v>
      </c>
      <c r="AE35" s="89">
        <v>1.95</v>
      </c>
      <c r="AF35" s="88">
        <v>2.13</v>
      </c>
      <c r="AG35" s="89">
        <v>2.31</v>
      </c>
      <c r="AH35" s="88"/>
      <c r="AI35" s="89"/>
      <c r="AJ35" s="88"/>
      <c r="AK35" s="89"/>
      <c r="AL35" s="88"/>
      <c r="AM35" s="89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54" ht="12.75">
      <c r="A36" s="90" t="str">
        <f t="shared" si="1"/>
        <v>Discus A  [IDA] (29,67)</v>
      </c>
      <c r="B36" s="87" t="s">
        <v>129</v>
      </c>
      <c r="C36" s="88" t="s">
        <v>130</v>
      </c>
      <c r="D36" s="92" t="s">
        <v>77</v>
      </c>
      <c r="E36" s="88">
        <v>29.67</v>
      </c>
      <c r="F36" s="88" t="s">
        <v>74</v>
      </c>
      <c r="G36" s="89"/>
      <c r="H36" s="88"/>
      <c r="I36" s="89"/>
      <c r="J36" s="88"/>
      <c r="K36" s="89"/>
      <c r="L36" s="88"/>
      <c r="M36" s="89">
        <v>0.6</v>
      </c>
      <c r="N36" s="88">
        <v>0.57</v>
      </c>
      <c r="O36" s="89">
        <v>0.56</v>
      </c>
      <c r="P36" s="88">
        <v>0.56</v>
      </c>
      <c r="Q36" s="89">
        <v>0.59</v>
      </c>
      <c r="R36" s="88">
        <v>0.62</v>
      </c>
      <c r="S36" s="89">
        <v>0.66</v>
      </c>
      <c r="T36" s="88">
        <v>0.71</v>
      </c>
      <c r="U36" s="89">
        <v>0.77</v>
      </c>
      <c r="V36" s="88">
        <v>0.83</v>
      </c>
      <c r="W36" s="89">
        <v>0.91</v>
      </c>
      <c r="X36" s="88">
        <v>1</v>
      </c>
      <c r="Y36" s="89">
        <v>1.09</v>
      </c>
      <c r="Z36" s="88">
        <v>1.19</v>
      </c>
      <c r="AA36" s="89">
        <v>1.28</v>
      </c>
      <c r="AB36" s="88">
        <v>1.39</v>
      </c>
      <c r="AC36" s="94">
        <v>1.51</v>
      </c>
      <c r="AD36" s="90">
        <v>1.65</v>
      </c>
      <c r="AE36" s="94">
        <v>1.85</v>
      </c>
      <c r="AF36" s="90">
        <v>2.09</v>
      </c>
      <c r="AG36" s="94">
        <v>2.33</v>
      </c>
      <c r="AH36" s="90">
        <v>2.55</v>
      </c>
      <c r="AI36" s="94">
        <v>2.77</v>
      </c>
      <c r="AJ36" s="90">
        <v>2.99</v>
      </c>
      <c r="AK36" s="94">
        <v>3.21</v>
      </c>
      <c r="AL36" s="90">
        <v>3.43</v>
      </c>
      <c r="AM36" s="89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1:54" ht="12.75">
      <c r="A37" s="90" t="str">
        <f>B37&amp;"  ["&amp;D37&amp;"] ("&amp;E37&amp;")"</f>
        <v>Discus A (H)  [MD] (50)</v>
      </c>
      <c r="B37" s="87" t="s">
        <v>131</v>
      </c>
      <c r="C37" s="88"/>
      <c r="D37" s="92" t="s">
        <v>80</v>
      </c>
      <c r="E37" s="88">
        <v>50</v>
      </c>
      <c r="F37" s="88" t="s">
        <v>74</v>
      </c>
      <c r="G37" s="89"/>
      <c r="H37" s="88"/>
      <c r="I37" s="89"/>
      <c r="J37" s="88"/>
      <c r="K37" s="89"/>
      <c r="L37" s="88"/>
      <c r="M37" s="89"/>
      <c r="N37" s="88"/>
      <c r="O37" s="89"/>
      <c r="P37" s="88">
        <v>1.5</v>
      </c>
      <c r="Q37" s="89">
        <v>0.85</v>
      </c>
      <c r="R37" s="88">
        <v>0.7</v>
      </c>
      <c r="S37" s="89">
        <v>0.72</v>
      </c>
      <c r="T37" s="88">
        <v>0.73</v>
      </c>
      <c r="U37" s="89">
        <v>0.75</v>
      </c>
      <c r="V37" s="88">
        <v>0.77</v>
      </c>
      <c r="W37" s="89">
        <v>0.81</v>
      </c>
      <c r="X37" s="88">
        <v>0.83</v>
      </c>
      <c r="Y37" s="89">
        <v>0.88</v>
      </c>
      <c r="Z37" s="88">
        <v>0.92</v>
      </c>
      <c r="AA37" s="89">
        <v>0.95</v>
      </c>
      <c r="AB37" s="88">
        <v>1.02</v>
      </c>
      <c r="AC37" s="89">
        <v>1.08</v>
      </c>
      <c r="AD37" s="88">
        <v>1.15</v>
      </c>
      <c r="AE37" s="89">
        <v>1.22</v>
      </c>
      <c r="AF37" s="88">
        <v>1.3</v>
      </c>
      <c r="AG37" s="89">
        <v>1.42</v>
      </c>
      <c r="AH37" s="88">
        <v>1.52</v>
      </c>
      <c r="AI37" s="89">
        <v>1.61</v>
      </c>
      <c r="AJ37" s="88">
        <v>1.72</v>
      </c>
      <c r="AK37" s="89">
        <v>1.84</v>
      </c>
      <c r="AL37" s="88"/>
      <c r="AM37" s="89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1:54" ht="12.75">
      <c r="A38" s="90" t="str">
        <f>B38&amp;"  ["&amp;D38&amp;"] ("&amp;E38&amp;")"</f>
        <v>Discus A (L)  [MD] (32,5)</v>
      </c>
      <c r="B38" s="87" t="s">
        <v>132</v>
      </c>
      <c r="C38" s="88"/>
      <c r="D38" s="92" t="s">
        <v>80</v>
      </c>
      <c r="E38" s="88">
        <v>32.5</v>
      </c>
      <c r="F38" s="88" t="s">
        <v>74</v>
      </c>
      <c r="G38" s="89"/>
      <c r="H38" s="88"/>
      <c r="I38" s="89"/>
      <c r="J38" s="88"/>
      <c r="K38" s="89"/>
      <c r="L38" s="88"/>
      <c r="M38" s="89">
        <v>0.8</v>
      </c>
      <c r="N38" s="88">
        <v>0.66</v>
      </c>
      <c r="O38" s="89">
        <v>0.63</v>
      </c>
      <c r="P38" s="88">
        <v>0.62</v>
      </c>
      <c r="Q38" s="89">
        <v>0.63</v>
      </c>
      <c r="R38" s="88">
        <v>0.66</v>
      </c>
      <c r="S38" s="89">
        <v>0.67</v>
      </c>
      <c r="T38" s="88">
        <v>0.71</v>
      </c>
      <c r="U38" s="89">
        <v>0.75</v>
      </c>
      <c r="V38" s="88">
        <v>0.8</v>
      </c>
      <c r="W38" s="89">
        <v>0.87</v>
      </c>
      <c r="X38" s="88">
        <v>0.94</v>
      </c>
      <c r="Y38" s="89">
        <v>1.04</v>
      </c>
      <c r="Z38" s="88">
        <v>1.14</v>
      </c>
      <c r="AA38" s="89">
        <v>1.24</v>
      </c>
      <c r="AB38" s="88">
        <v>1.37</v>
      </c>
      <c r="AC38" s="89">
        <v>1.48</v>
      </c>
      <c r="AD38" s="88">
        <v>1.58</v>
      </c>
      <c r="AE38" s="89">
        <v>1.75</v>
      </c>
      <c r="AF38" s="88">
        <v>1.94</v>
      </c>
      <c r="AG38" s="89">
        <v>2.15</v>
      </c>
      <c r="AH38" s="88">
        <v>2.38</v>
      </c>
      <c r="AI38" s="89">
        <v>2.67</v>
      </c>
      <c r="AJ38" s="88">
        <v>2.87</v>
      </c>
      <c r="AK38" s="89">
        <v>3.16</v>
      </c>
      <c r="AL38" s="88"/>
      <c r="AM38" s="89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1:54" ht="12.75">
      <c r="A39" s="90" t="str">
        <f aca="true" t="shared" si="2" ref="A39:A54">B39&amp;"  ["&amp;D39&amp;"] ("&amp;E39&amp;")"</f>
        <v>Discus B  [IDA] (29,7)</v>
      </c>
      <c r="B39" s="87" t="s">
        <v>133</v>
      </c>
      <c r="C39" s="88" t="s">
        <v>134</v>
      </c>
      <c r="D39" s="92" t="s">
        <v>77</v>
      </c>
      <c r="E39" s="88">
        <v>29.7</v>
      </c>
      <c r="F39" s="88" t="s">
        <v>74</v>
      </c>
      <c r="G39" s="89"/>
      <c r="H39" s="88"/>
      <c r="I39" s="89"/>
      <c r="J39" s="88"/>
      <c r="K39" s="89"/>
      <c r="L39" s="88"/>
      <c r="M39" s="89">
        <v>0.64</v>
      </c>
      <c r="N39" s="88">
        <v>0.56</v>
      </c>
      <c r="O39" s="89">
        <v>0.56</v>
      </c>
      <c r="P39" s="88">
        <v>0.57</v>
      </c>
      <c r="Q39" s="89">
        <v>0.6</v>
      </c>
      <c r="R39" s="88">
        <v>0.64</v>
      </c>
      <c r="S39" s="89">
        <v>0.69</v>
      </c>
      <c r="T39" s="88">
        <v>0.74</v>
      </c>
      <c r="U39" s="89">
        <v>0.8</v>
      </c>
      <c r="V39" s="88">
        <v>0.87</v>
      </c>
      <c r="W39" s="89">
        <v>0.95</v>
      </c>
      <c r="X39" s="88">
        <v>1.03</v>
      </c>
      <c r="Y39" s="89">
        <v>1.1</v>
      </c>
      <c r="Z39" s="88">
        <v>1.19</v>
      </c>
      <c r="AA39" s="89">
        <v>1.29</v>
      </c>
      <c r="AB39" s="88">
        <v>1.38</v>
      </c>
      <c r="AC39" s="89">
        <v>1.48</v>
      </c>
      <c r="AD39" s="88"/>
      <c r="AE39" s="89"/>
      <c r="AF39" s="88"/>
      <c r="AG39" s="89"/>
      <c r="AH39" s="88"/>
      <c r="AI39" s="89"/>
      <c r="AJ39" s="88"/>
      <c r="AK39" s="89"/>
      <c r="AL39" s="88"/>
      <c r="AM39" s="89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1:54" ht="12.75">
      <c r="A40" s="90" t="str">
        <f t="shared" si="2"/>
        <v>Elfe S-25  [IDA] (28,6)</v>
      </c>
      <c r="B40" s="87" t="s">
        <v>135</v>
      </c>
      <c r="C40" s="88" t="s">
        <v>136</v>
      </c>
      <c r="D40" s="92" t="s">
        <v>77</v>
      </c>
      <c r="E40" s="88">
        <v>28.6</v>
      </c>
      <c r="F40" s="88" t="s">
        <v>74</v>
      </c>
      <c r="G40" s="89"/>
      <c r="H40" s="88"/>
      <c r="I40" s="89"/>
      <c r="J40" s="88"/>
      <c r="K40" s="89"/>
      <c r="L40" s="88"/>
      <c r="M40" s="89"/>
      <c r="N40" s="88">
        <v>0.6</v>
      </c>
      <c r="O40" s="89">
        <v>0.59</v>
      </c>
      <c r="P40" s="88">
        <v>0.62</v>
      </c>
      <c r="Q40" s="89">
        <v>0.66</v>
      </c>
      <c r="R40" s="88">
        <v>0.72</v>
      </c>
      <c r="S40" s="89">
        <v>0.8</v>
      </c>
      <c r="T40" s="88">
        <v>0.88</v>
      </c>
      <c r="U40" s="89">
        <v>0.97</v>
      </c>
      <c r="V40" s="88">
        <v>1.1</v>
      </c>
      <c r="W40" s="89">
        <v>1.23</v>
      </c>
      <c r="X40" s="88">
        <v>1.35</v>
      </c>
      <c r="Y40" s="89">
        <v>1.46</v>
      </c>
      <c r="Z40" s="88">
        <v>1.65</v>
      </c>
      <c r="AA40" s="89">
        <v>1.8</v>
      </c>
      <c r="AB40" s="88">
        <v>1.96</v>
      </c>
      <c r="AC40" s="89">
        <v>2.12</v>
      </c>
      <c r="AD40" s="88">
        <v>2.79</v>
      </c>
      <c r="AE40" s="89"/>
      <c r="AF40" s="88"/>
      <c r="AG40" s="89"/>
      <c r="AH40" s="88"/>
      <c r="AI40" s="89"/>
      <c r="AJ40" s="88"/>
      <c r="AK40" s="89"/>
      <c r="AL40" s="88"/>
      <c r="AM40" s="89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1:54" ht="12.75">
      <c r="A41" s="90" t="str">
        <f t="shared" si="2"/>
        <v>Elfe S4D  [IDA] (27)</v>
      </c>
      <c r="B41" s="87" t="s">
        <v>137</v>
      </c>
      <c r="C41" s="88" t="s">
        <v>138</v>
      </c>
      <c r="D41" s="92" t="s">
        <v>77</v>
      </c>
      <c r="E41" s="88">
        <v>27</v>
      </c>
      <c r="F41" s="88" t="s">
        <v>74</v>
      </c>
      <c r="G41" s="89"/>
      <c r="H41" s="88"/>
      <c r="I41" s="89"/>
      <c r="J41" s="88"/>
      <c r="K41" s="89"/>
      <c r="L41" s="88"/>
      <c r="M41" s="89">
        <v>0.79</v>
      </c>
      <c r="N41" s="88">
        <v>0.71</v>
      </c>
      <c r="O41" s="89">
        <v>0.69</v>
      </c>
      <c r="P41" s="88">
        <v>0.7</v>
      </c>
      <c r="Q41" s="89">
        <v>0.72</v>
      </c>
      <c r="R41" s="88">
        <v>0.77</v>
      </c>
      <c r="S41" s="89">
        <v>0.82</v>
      </c>
      <c r="T41" s="88">
        <v>0.88</v>
      </c>
      <c r="U41" s="89">
        <v>0.94</v>
      </c>
      <c r="V41" s="88">
        <v>1.03</v>
      </c>
      <c r="W41" s="89">
        <v>1.13</v>
      </c>
      <c r="X41" s="88">
        <v>1.23</v>
      </c>
      <c r="Y41" s="89">
        <v>1.34</v>
      </c>
      <c r="Z41" s="88">
        <v>1.47</v>
      </c>
      <c r="AA41" s="89">
        <v>1.6</v>
      </c>
      <c r="AB41" s="88">
        <v>1.74</v>
      </c>
      <c r="AC41" s="89">
        <v>1.89</v>
      </c>
      <c r="AD41" s="88">
        <v>2.05</v>
      </c>
      <c r="AE41" s="89">
        <v>2.21</v>
      </c>
      <c r="AF41" s="88">
        <v>2.38</v>
      </c>
      <c r="AG41" s="89">
        <v>2.58</v>
      </c>
      <c r="AH41" s="88">
        <v>2.76</v>
      </c>
      <c r="AI41" s="89">
        <v>2.96</v>
      </c>
      <c r="AJ41" s="88">
        <v>3.16</v>
      </c>
      <c r="AK41" s="89"/>
      <c r="AL41" s="88"/>
      <c r="AM41" s="89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1:54" ht="12.75">
      <c r="A42" s="90" t="str">
        <f t="shared" si="2"/>
        <v>ES 60  [AG] (27)</v>
      </c>
      <c r="B42" s="91" t="s">
        <v>139</v>
      </c>
      <c r="C42"/>
      <c r="D42" s="92" t="s">
        <v>140</v>
      </c>
      <c r="E42" s="97">
        <v>27</v>
      </c>
      <c r="F42" s="88" t="s">
        <v>74</v>
      </c>
      <c r="G42" s="89"/>
      <c r="H42" s="88"/>
      <c r="I42" s="89"/>
      <c r="J42" s="88"/>
      <c r="K42" s="89"/>
      <c r="L42" s="88"/>
      <c r="M42" s="89">
        <v>0</v>
      </c>
      <c r="N42" s="93">
        <v>0.7</v>
      </c>
      <c r="O42" s="89">
        <v>0.71</v>
      </c>
      <c r="P42" s="93">
        <v>0.72</v>
      </c>
      <c r="Q42" s="89">
        <v>0.79</v>
      </c>
      <c r="R42" s="93">
        <v>0.88</v>
      </c>
      <c r="S42" s="89">
        <v>0.9</v>
      </c>
      <c r="T42" s="93">
        <v>1.04</v>
      </c>
      <c r="U42" s="89">
        <v>1.13</v>
      </c>
      <c r="V42" s="93">
        <v>1.24</v>
      </c>
      <c r="W42" s="89">
        <v>1.32</v>
      </c>
      <c r="X42" s="93">
        <v>1.5</v>
      </c>
      <c r="Y42" s="89">
        <v>1.62</v>
      </c>
      <c r="Z42" s="93">
        <v>1.83</v>
      </c>
      <c r="AA42" s="89">
        <v>2.02</v>
      </c>
      <c r="AB42" s="93">
        <v>2.17</v>
      </c>
      <c r="AC42" s="89">
        <v>2.4</v>
      </c>
      <c r="AD42" s="93">
        <v>2.6</v>
      </c>
      <c r="AE42" s="89">
        <v>2.9</v>
      </c>
      <c r="AF42" s="93">
        <v>3.31</v>
      </c>
      <c r="AG42" s="89"/>
      <c r="AH42" s="93"/>
      <c r="AI42" s="89"/>
      <c r="AJ42" s="93"/>
      <c r="AK42" s="89"/>
      <c r="AL42" s="88"/>
      <c r="AM42" s="89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</row>
    <row r="43" spans="1:54" ht="12.75">
      <c r="A43" s="90" t="str">
        <f t="shared" si="2"/>
        <v>Falcon  [IDA] (31,6)</v>
      </c>
      <c r="B43" s="87" t="s">
        <v>141</v>
      </c>
      <c r="C43" s="88" t="s">
        <v>142</v>
      </c>
      <c r="D43" s="92" t="s">
        <v>77</v>
      </c>
      <c r="E43" s="88">
        <v>31.6</v>
      </c>
      <c r="F43" s="88" t="s">
        <v>74</v>
      </c>
      <c r="G43" s="89"/>
      <c r="H43" s="88"/>
      <c r="I43" s="89"/>
      <c r="J43" s="88"/>
      <c r="K43" s="89"/>
      <c r="L43" s="88"/>
      <c r="M43" s="89">
        <v>0.65</v>
      </c>
      <c r="N43" s="88">
        <v>0.6</v>
      </c>
      <c r="O43" s="89">
        <v>0.6</v>
      </c>
      <c r="P43" s="88">
        <v>0.63</v>
      </c>
      <c r="Q43" s="89">
        <v>0.64</v>
      </c>
      <c r="R43" s="88">
        <v>0.67</v>
      </c>
      <c r="S43" s="89">
        <v>0.69</v>
      </c>
      <c r="T43" s="88">
        <v>0.74</v>
      </c>
      <c r="U43" s="89">
        <v>0.8</v>
      </c>
      <c r="V43" s="88">
        <v>0.86</v>
      </c>
      <c r="W43" s="89">
        <v>0.92</v>
      </c>
      <c r="X43" s="88">
        <v>0.98</v>
      </c>
      <c r="Y43" s="89">
        <v>1.07</v>
      </c>
      <c r="Z43" s="88">
        <v>1.17</v>
      </c>
      <c r="AA43" s="89">
        <v>1.28</v>
      </c>
      <c r="AB43" s="88">
        <v>1.4</v>
      </c>
      <c r="AC43" s="89">
        <v>1.52</v>
      </c>
      <c r="AD43" s="88">
        <v>1.66</v>
      </c>
      <c r="AE43" s="89">
        <v>1.81</v>
      </c>
      <c r="AF43" s="88">
        <v>1.98</v>
      </c>
      <c r="AG43" s="89">
        <v>2.16</v>
      </c>
      <c r="AH43" s="88"/>
      <c r="AI43" s="89"/>
      <c r="AJ43" s="88"/>
      <c r="AK43" s="89"/>
      <c r="AL43" s="88"/>
      <c r="AM43" s="89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1:54" ht="12.75">
      <c r="A44" s="90" t="str">
        <f t="shared" si="2"/>
        <v>G-102 3B  [IDA] (27,6)</v>
      </c>
      <c r="B44" s="87" t="s">
        <v>143</v>
      </c>
      <c r="C44" s="88" t="s">
        <v>144</v>
      </c>
      <c r="D44" s="92" t="s">
        <v>77</v>
      </c>
      <c r="E44" s="88">
        <v>27.6</v>
      </c>
      <c r="F44" s="88" t="s">
        <v>74</v>
      </c>
      <c r="G44" s="89"/>
      <c r="H44" s="88"/>
      <c r="I44" s="89"/>
      <c r="J44" s="88"/>
      <c r="K44" s="89"/>
      <c r="L44" s="88"/>
      <c r="M44" s="89"/>
      <c r="N44" s="88">
        <v>0.7</v>
      </c>
      <c r="O44" s="89">
        <v>0.68</v>
      </c>
      <c r="P44" s="88">
        <v>0.7</v>
      </c>
      <c r="Q44" s="89">
        <v>0.74</v>
      </c>
      <c r="R44" s="88">
        <v>0.8</v>
      </c>
      <c r="S44" s="89">
        <v>0.86</v>
      </c>
      <c r="T44" s="88">
        <v>0.95</v>
      </c>
      <c r="U44" s="89">
        <v>1.03</v>
      </c>
      <c r="V44" s="88">
        <v>1.12</v>
      </c>
      <c r="W44" s="89">
        <v>1.23</v>
      </c>
      <c r="X44" s="88">
        <v>1.34</v>
      </c>
      <c r="Y44" s="89">
        <v>1.47</v>
      </c>
      <c r="Z44" s="88">
        <v>1.59</v>
      </c>
      <c r="AA44" s="89">
        <v>1.72</v>
      </c>
      <c r="AB44" s="88">
        <v>1.85</v>
      </c>
      <c r="AC44" s="89">
        <v>2</v>
      </c>
      <c r="AD44" s="88">
        <v>2.14</v>
      </c>
      <c r="AE44" s="89">
        <v>2.29</v>
      </c>
      <c r="AF44" s="88">
        <v>2.46</v>
      </c>
      <c r="AG44" s="89">
        <v>2.64</v>
      </c>
      <c r="AH44" s="88">
        <v>2.84</v>
      </c>
      <c r="AI44" s="89">
        <v>3.06</v>
      </c>
      <c r="AJ44" s="88"/>
      <c r="AK44" s="89"/>
      <c r="AL44" s="88"/>
      <c r="AM44" s="89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</row>
    <row r="45" spans="1:54" ht="12.75">
      <c r="A45" s="90" t="str">
        <f t="shared" si="2"/>
        <v>H.304/17  [IDA] (35,2)</v>
      </c>
      <c r="B45" s="87" t="s">
        <v>145</v>
      </c>
      <c r="C45" s="88" t="s">
        <v>146</v>
      </c>
      <c r="D45" s="92" t="s">
        <v>77</v>
      </c>
      <c r="E45" s="88">
        <v>35.2</v>
      </c>
      <c r="F45" s="88" t="s">
        <v>74</v>
      </c>
      <c r="G45" s="89"/>
      <c r="H45" s="88"/>
      <c r="I45" s="89"/>
      <c r="J45" s="88"/>
      <c r="K45" s="89"/>
      <c r="L45" s="88"/>
      <c r="M45" s="89"/>
      <c r="N45" s="88">
        <v>0.56</v>
      </c>
      <c r="O45" s="89">
        <v>0.53</v>
      </c>
      <c r="P45" s="88">
        <v>0.54</v>
      </c>
      <c r="Q45" s="89">
        <v>0.55</v>
      </c>
      <c r="R45" s="88">
        <v>0.58</v>
      </c>
      <c r="S45" s="89">
        <v>0.62</v>
      </c>
      <c r="T45" s="88">
        <v>0.66</v>
      </c>
      <c r="U45" s="89">
        <v>0.7</v>
      </c>
      <c r="V45" s="88">
        <v>0.77</v>
      </c>
      <c r="W45" s="89">
        <v>0.84</v>
      </c>
      <c r="X45" s="88">
        <v>0.93</v>
      </c>
      <c r="Y45" s="89">
        <v>1.02</v>
      </c>
      <c r="Z45" s="88">
        <v>1.11</v>
      </c>
      <c r="AA45" s="89">
        <v>1.2</v>
      </c>
      <c r="AB45" s="88">
        <v>1.31</v>
      </c>
      <c r="AC45" s="89">
        <v>1.41</v>
      </c>
      <c r="AD45" s="88">
        <v>1.5</v>
      </c>
      <c r="AE45" s="89">
        <v>1.6</v>
      </c>
      <c r="AF45" s="88">
        <v>1.71</v>
      </c>
      <c r="AG45" s="89">
        <v>1.82</v>
      </c>
      <c r="AH45" s="88">
        <v>1.93</v>
      </c>
      <c r="AI45" s="89">
        <v>2.05</v>
      </c>
      <c r="AJ45" s="88">
        <v>2.17</v>
      </c>
      <c r="AK45" s="89">
        <v>2.3</v>
      </c>
      <c r="AL45" s="88">
        <v>2.43</v>
      </c>
      <c r="AM45" s="89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1:54" ht="12.75">
      <c r="A46" s="90" t="str">
        <f t="shared" si="2"/>
        <v>H-304  [IDA] (35,8)</v>
      </c>
      <c r="B46" s="87" t="s">
        <v>147</v>
      </c>
      <c r="C46" s="88" t="s">
        <v>148</v>
      </c>
      <c r="D46" s="92" t="s">
        <v>77</v>
      </c>
      <c r="E46" s="88">
        <v>35.8</v>
      </c>
      <c r="F46" s="88" t="s">
        <v>74</v>
      </c>
      <c r="G46" s="89"/>
      <c r="H46" s="88"/>
      <c r="I46" s="89"/>
      <c r="J46" s="88"/>
      <c r="K46" s="89"/>
      <c r="L46" s="88"/>
      <c r="M46" s="89">
        <v>0.72</v>
      </c>
      <c r="N46" s="88">
        <v>0.65</v>
      </c>
      <c r="O46" s="89">
        <v>0.64</v>
      </c>
      <c r="P46" s="88">
        <v>0.63</v>
      </c>
      <c r="Q46" s="89">
        <v>0.62</v>
      </c>
      <c r="R46" s="88">
        <v>0.65</v>
      </c>
      <c r="S46" s="89">
        <v>0.68</v>
      </c>
      <c r="T46" s="88">
        <v>0.72</v>
      </c>
      <c r="U46" s="89">
        <v>0.77</v>
      </c>
      <c r="V46" s="88">
        <v>0.83</v>
      </c>
      <c r="W46" s="89">
        <v>0.88</v>
      </c>
      <c r="X46" s="88">
        <v>0.96</v>
      </c>
      <c r="Y46" s="89">
        <v>1.02</v>
      </c>
      <c r="Z46" s="88">
        <v>1.1</v>
      </c>
      <c r="AA46" s="89">
        <v>1.19</v>
      </c>
      <c r="AB46" s="88">
        <v>1.29</v>
      </c>
      <c r="AC46" s="89">
        <v>1.4</v>
      </c>
      <c r="AD46" s="88">
        <v>1.52</v>
      </c>
      <c r="AE46" s="89">
        <v>1.65</v>
      </c>
      <c r="AF46" s="88">
        <v>1.78</v>
      </c>
      <c r="AG46" s="89">
        <v>1.9</v>
      </c>
      <c r="AH46" s="88">
        <v>2.04</v>
      </c>
      <c r="AI46" s="89">
        <v>2.2</v>
      </c>
      <c r="AJ46" s="88">
        <v>2.35</v>
      </c>
      <c r="AK46" s="89">
        <v>2.49</v>
      </c>
      <c r="AL46" s="88"/>
      <c r="AM46" s="89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1:54" ht="12.75">
      <c r="A47" s="90" t="str">
        <f t="shared" si="2"/>
        <v>Hornet C  [IDA] (32,3)</v>
      </c>
      <c r="B47" s="87" t="s">
        <v>149</v>
      </c>
      <c r="C47" s="88" t="s">
        <v>150</v>
      </c>
      <c r="D47" s="92" t="s">
        <v>77</v>
      </c>
      <c r="E47" s="88">
        <v>32.3</v>
      </c>
      <c r="F47" s="88" t="s">
        <v>74</v>
      </c>
      <c r="G47" s="89"/>
      <c r="H47" s="88"/>
      <c r="I47" s="89"/>
      <c r="J47" s="88"/>
      <c r="K47" s="89"/>
      <c r="L47" s="88"/>
      <c r="M47" s="89"/>
      <c r="N47" s="88">
        <v>0.64</v>
      </c>
      <c r="O47" s="89">
        <v>0.63</v>
      </c>
      <c r="P47" s="88">
        <v>0.64</v>
      </c>
      <c r="Q47" s="89">
        <v>0.66</v>
      </c>
      <c r="R47" s="88">
        <v>0.69</v>
      </c>
      <c r="S47" s="89">
        <v>0.73</v>
      </c>
      <c r="T47" s="88">
        <v>0.78</v>
      </c>
      <c r="U47" s="89">
        <v>0.85</v>
      </c>
      <c r="V47" s="88">
        <v>0.93</v>
      </c>
      <c r="W47" s="89">
        <v>1.02</v>
      </c>
      <c r="X47" s="88">
        <v>1.12</v>
      </c>
      <c r="Y47" s="89">
        <v>1.22</v>
      </c>
      <c r="Z47" s="88">
        <v>1.34</v>
      </c>
      <c r="AA47" s="89">
        <v>1.47</v>
      </c>
      <c r="AB47" s="88">
        <v>1.6</v>
      </c>
      <c r="AC47" s="89">
        <v>1.75</v>
      </c>
      <c r="AD47" s="88">
        <v>1.89</v>
      </c>
      <c r="AE47" s="89">
        <v>2.05</v>
      </c>
      <c r="AF47" s="88">
        <v>2.2</v>
      </c>
      <c r="AG47" s="89">
        <v>2.38</v>
      </c>
      <c r="AH47" s="88">
        <v>2.55</v>
      </c>
      <c r="AI47" s="89">
        <v>2.73</v>
      </c>
      <c r="AJ47" s="88">
        <v>2.93</v>
      </c>
      <c r="AK47" s="89">
        <v>3.14</v>
      </c>
      <c r="AL47" s="88">
        <v>3.33</v>
      </c>
      <c r="AM47" s="89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1:54" ht="12.75">
      <c r="A48" s="90" t="str">
        <f t="shared" si="2"/>
        <v>Hornet H-206  [IDA] (32,05)</v>
      </c>
      <c r="B48" s="87" t="s">
        <v>151</v>
      </c>
      <c r="C48" s="88" t="s">
        <v>152</v>
      </c>
      <c r="D48" s="92" t="s">
        <v>77</v>
      </c>
      <c r="E48" s="88">
        <v>32.05</v>
      </c>
      <c r="F48" s="88" t="s">
        <v>74</v>
      </c>
      <c r="G48" s="89"/>
      <c r="H48" s="88"/>
      <c r="I48" s="89"/>
      <c r="J48" s="88"/>
      <c r="K48" s="89"/>
      <c r="L48" s="88"/>
      <c r="M48" s="89"/>
      <c r="N48" s="88">
        <v>0.66</v>
      </c>
      <c r="O48" s="89">
        <v>0.64</v>
      </c>
      <c r="P48" s="88">
        <v>0.66</v>
      </c>
      <c r="Q48" s="89">
        <v>0.68</v>
      </c>
      <c r="R48" s="88">
        <v>0.71</v>
      </c>
      <c r="S48" s="89">
        <v>0.75</v>
      </c>
      <c r="T48" s="88">
        <v>0.82</v>
      </c>
      <c r="U48" s="89">
        <v>0.88</v>
      </c>
      <c r="V48" s="88">
        <v>0.95</v>
      </c>
      <c r="W48" s="89">
        <v>1.04</v>
      </c>
      <c r="X48" s="88">
        <v>1.12</v>
      </c>
      <c r="Y48" s="89">
        <v>1.23</v>
      </c>
      <c r="Z48" s="88">
        <v>1.33</v>
      </c>
      <c r="AA48" s="89">
        <v>1.45</v>
      </c>
      <c r="AB48" s="88">
        <v>1.56</v>
      </c>
      <c r="AC48" s="89">
        <v>1.7</v>
      </c>
      <c r="AD48" s="88">
        <v>1.83</v>
      </c>
      <c r="AE48" s="89">
        <v>1.98</v>
      </c>
      <c r="AF48" s="88">
        <v>2.14</v>
      </c>
      <c r="AG48" s="89">
        <v>2.3</v>
      </c>
      <c r="AH48" s="88">
        <v>2.49</v>
      </c>
      <c r="AI48" s="89">
        <v>2.67</v>
      </c>
      <c r="AJ48" s="88">
        <v>2.86</v>
      </c>
      <c r="AK48" s="89">
        <v>3.07</v>
      </c>
      <c r="AL48" s="88"/>
      <c r="AM48" s="89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1:54" ht="12.75">
      <c r="A49" s="90" t="str">
        <f t="shared" si="2"/>
        <v>Hornet H-206  [IDA] (32,05)</v>
      </c>
      <c r="B49" s="91" t="s">
        <v>151</v>
      </c>
      <c r="C49"/>
      <c r="D49" s="92" t="s">
        <v>77</v>
      </c>
      <c r="E49" s="97">
        <v>32.05</v>
      </c>
      <c r="F49" s="88" t="s">
        <v>79</v>
      </c>
      <c r="G49" s="89"/>
      <c r="H49" s="88"/>
      <c r="I49" s="89"/>
      <c r="J49" s="88"/>
      <c r="K49" s="89"/>
      <c r="L49" s="88"/>
      <c r="M49" s="89">
        <v>0</v>
      </c>
      <c r="N49" s="93">
        <v>1.2845770306672193</v>
      </c>
      <c r="O49" s="89">
        <v>1.246795353294654</v>
      </c>
      <c r="P49" s="93">
        <v>1.2845770306672193</v>
      </c>
      <c r="Q49" s="89">
        <v>1.3223587080397845</v>
      </c>
      <c r="R49" s="93">
        <v>1.36014038541235</v>
      </c>
      <c r="S49" s="89">
        <v>1.4357037401574804</v>
      </c>
      <c r="T49" s="93">
        <v>1.5868304496477414</v>
      </c>
      <c r="U49" s="89">
        <v>1.7001754817654373</v>
      </c>
      <c r="V49" s="93">
        <v>1.8135205138831332</v>
      </c>
      <c r="W49" s="89">
        <v>2.0024289007459597</v>
      </c>
      <c r="X49" s="93">
        <v>2.1535556102362206</v>
      </c>
      <c r="Y49" s="89">
        <v>2.3802456744716123</v>
      </c>
      <c r="Z49" s="93">
        <v>2.5691540613344386</v>
      </c>
      <c r="AA49" s="89">
        <v>2.7958441255698303</v>
      </c>
      <c r="AB49" s="93">
        <v>3.022534189805222</v>
      </c>
      <c r="AC49" s="89">
        <v>3.2870059314131788</v>
      </c>
      <c r="AD49" s="93">
        <v>3.513695995648571</v>
      </c>
      <c r="AE49" s="89">
        <v>3.8159494146290927</v>
      </c>
      <c r="AF49" s="93">
        <v>4.118202833609615</v>
      </c>
      <c r="AG49" s="89">
        <v>4.420456252590137</v>
      </c>
      <c r="AH49" s="93">
        <v>4.7982730263157904</v>
      </c>
      <c r="AI49" s="89">
        <v>5.138308122668877</v>
      </c>
      <c r="AJ49" s="93">
        <v>5.51612489639453</v>
      </c>
      <c r="AK49" s="89">
        <v>5.931723347492749</v>
      </c>
      <c r="AL49" s="88"/>
      <c r="AM49" s="89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1:54" ht="12.75">
      <c r="A50" s="90" t="str">
        <f t="shared" si="2"/>
        <v>Jantar 2  [IDA] (33,5)</v>
      </c>
      <c r="B50" s="91" t="s">
        <v>153</v>
      </c>
      <c r="C50"/>
      <c r="D50" s="92" t="s">
        <v>77</v>
      </c>
      <c r="E50" s="97">
        <v>33.5</v>
      </c>
      <c r="F50" s="88" t="s">
        <v>79</v>
      </c>
      <c r="G50" s="89"/>
      <c r="H50" s="88"/>
      <c r="I50" s="89"/>
      <c r="J50" s="88"/>
      <c r="K50" s="89"/>
      <c r="L50" s="88"/>
      <c r="M50" s="89">
        <v>0</v>
      </c>
      <c r="N50" s="93">
        <v>1.4357037401574804</v>
      </c>
      <c r="O50" s="89">
        <v>1.3223587080397845</v>
      </c>
      <c r="P50" s="93">
        <v>1.3223587080397845</v>
      </c>
      <c r="Q50" s="89">
        <v>1.3223587080397845</v>
      </c>
      <c r="R50" s="93">
        <v>1.36014038541235</v>
      </c>
      <c r="S50" s="89">
        <v>1.4357037401574804</v>
      </c>
      <c r="T50" s="93">
        <v>1.511267094902611</v>
      </c>
      <c r="U50" s="89">
        <v>1.5868304496477414</v>
      </c>
      <c r="V50" s="93">
        <v>1.7379571591380027</v>
      </c>
      <c r="W50" s="89">
        <v>1.8890838686282638</v>
      </c>
      <c r="X50" s="93">
        <v>2.07799225549109</v>
      </c>
      <c r="Y50" s="89">
        <v>2.229118964981351</v>
      </c>
      <c r="Z50" s="93">
        <v>2.3802456744716123</v>
      </c>
      <c r="AA50" s="89">
        <v>2.6069357387070036</v>
      </c>
      <c r="AB50" s="93">
        <v>2.7958441255698303</v>
      </c>
      <c r="AC50" s="89">
        <v>3.022534189805222</v>
      </c>
      <c r="AD50" s="93">
        <v>3.2114425766680483</v>
      </c>
      <c r="AE50" s="89">
        <v>3.4759143182760055</v>
      </c>
      <c r="AF50" s="93">
        <v>3.702604382511397</v>
      </c>
      <c r="AG50" s="89">
        <v>4.004857801491919</v>
      </c>
      <c r="AH50" s="93">
        <v>4.344892897845006</v>
      </c>
      <c r="AI50" s="89">
        <v>4.647146316825529</v>
      </c>
      <c r="AJ50" s="93">
        <v>4.987181413178616</v>
      </c>
      <c r="AK50" s="89">
        <v>5.327216509531704</v>
      </c>
      <c r="AL50" s="88"/>
      <c r="AM50" s="89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</row>
    <row r="51" spans="1:54" ht="12.75">
      <c r="A51" s="90" t="str">
        <f t="shared" si="2"/>
        <v>Jantar 2B  [IDA] (33,2)</v>
      </c>
      <c r="B51" s="87" t="s">
        <v>154</v>
      </c>
      <c r="C51" s="88" t="s">
        <v>155</v>
      </c>
      <c r="D51" s="92" t="s">
        <v>77</v>
      </c>
      <c r="E51" s="88">
        <v>33.2</v>
      </c>
      <c r="F51" s="88" t="s">
        <v>74</v>
      </c>
      <c r="G51" s="89"/>
      <c r="H51" s="88"/>
      <c r="I51" s="89"/>
      <c r="J51" s="88"/>
      <c r="K51" s="89"/>
      <c r="L51" s="88"/>
      <c r="M51" s="89"/>
      <c r="N51" s="88">
        <v>0.52</v>
      </c>
      <c r="O51" s="89">
        <v>0.51</v>
      </c>
      <c r="P51" s="88">
        <v>0.51</v>
      </c>
      <c r="Q51" s="89">
        <v>0.54</v>
      </c>
      <c r="R51" s="88">
        <v>0.56</v>
      </c>
      <c r="S51" s="89">
        <v>0.59</v>
      </c>
      <c r="T51" s="88">
        <v>0.63</v>
      </c>
      <c r="U51" s="89">
        <v>0.68</v>
      </c>
      <c r="V51" s="88">
        <v>0.73</v>
      </c>
      <c r="W51" s="89">
        <v>0.8</v>
      </c>
      <c r="X51" s="88">
        <v>0.87</v>
      </c>
      <c r="Y51" s="89">
        <v>0.95</v>
      </c>
      <c r="Z51" s="88">
        <v>1.04</v>
      </c>
      <c r="AA51" s="89">
        <v>1.15</v>
      </c>
      <c r="AB51" s="88">
        <v>1.26</v>
      </c>
      <c r="AC51" s="89">
        <v>1.38</v>
      </c>
      <c r="AD51" s="88">
        <v>1.49</v>
      </c>
      <c r="AE51" s="89">
        <v>1.62</v>
      </c>
      <c r="AF51" s="88">
        <v>1.74</v>
      </c>
      <c r="AG51" s="89">
        <v>1.88</v>
      </c>
      <c r="AH51" s="88">
        <v>2.02</v>
      </c>
      <c r="AI51" s="89">
        <v>2.17</v>
      </c>
      <c r="AJ51" s="88"/>
      <c r="AK51" s="89"/>
      <c r="AL51" s="88"/>
      <c r="AM51" s="89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</row>
    <row r="52" spans="1:54" ht="12.75">
      <c r="A52" s="90" t="str">
        <f t="shared" si="2"/>
        <v>Jantar Std   [IDA] (33,5)</v>
      </c>
      <c r="B52" s="87" t="s">
        <v>156</v>
      </c>
      <c r="C52" s="88" t="s">
        <v>157</v>
      </c>
      <c r="D52" s="92" t="s">
        <v>77</v>
      </c>
      <c r="E52" s="88">
        <v>33.5</v>
      </c>
      <c r="F52" s="88" t="s">
        <v>74</v>
      </c>
      <c r="G52" s="89"/>
      <c r="H52" s="88"/>
      <c r="I52" s="89"/>
      <c r="J52" s="88"/>
      <c r="K52" s="89"/>
      <c r="L52" s="88"/>
      <c r="M52" s="89"/>
      <c r="N52" s="88">
        <v>0.75</v>
      </c>
      <c r="O52" s="89">
        <v>0.68</v>
      </c>
      <c r="P52" s="88">
        <v>0.68</v>
      </c>
      <c r="Q52" s="89">
        <v>0.68</v>
      </c>
      <c r="R52" s="88">
        <v>0.71</v>
      </c>
      <c r="S52" s="89">
        <v>0.75</v>
      </c>
      <c r="T52" s="88">
        <v>0.78</v>
      </c>
      <c r="U52" s="89">
        <v>0.83</v>
      </c>
      <c r="V52" s="88">
        <v>0.9</v>
      </c>
      <c r="W52" s="89">
        <v>0.99</v>
      </c>
      <c r="X52" s="88">
        <v>1.07</v>
      </c>
      <c r="Y52" s="89">
        <v>1.15</v>
      </c>
      <c r="Z52" s="88">
        <v>1.24</v>
      </c>
      <c r="AA52" s="89">
        <v>1.35</v>
      </c>
      <c r="AB52" s="88">
        <v>1.46</v>
      </c>
      <c r="AC52" s="89">
        <v>1.56</v>
      </c>
      <c r="AD52" s="88">
        <v>1.67</v>
      </c>
      <c r="AE52" s="89">
        <v>1.8</v>
      </c>
      <c r="AF52" s="88">
        <v>1.92</v>
      </c>
      <c r="AG52" s="89">
        <v>2.08</v>
      </c>
      <c r="AH52" s="88">
        <v>2.25</v>
      </c>
      <c r="AI52" s="89">
        <v>2.41</v>
      </c>
      <c r="AJ52" s="88">
        <v>2.59</v>
      </c>
      <c r="AK52" s="89">
        <v>2.76</v>
      </c>
      <c r="AL52" s="88">
        <v>2.94</v>
      </c>
      <c r="AM52" s="89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</row>
    <row r="53" spans="1:54" ht="12.75">
      <c r="A53" s="90" t="str">
        <f t="shared" si="2"/>
        <v>Jantar SZD.41A  [IDA] (30,9)</v>
      </c>
      <c r="B53" s="87" t="s">
        <v>158</v>
      </c>
      <c r="C53" s="88" t="s">
        <v>159</v>
      </c>
      <c r="D53" s="92" t="s">
        <v>77</v>
      </c>
      <c r="E53" s="88">
        <v>30.9</v>
      </c>
      <c r="F53" s="88" t="s">
        <v>74</v>
      </c>
      <c r="G53" s="89"/>
      <c r="H53" s="88"/>
      <c r="I53" s="89"/>
      <c r="J53" s="88"/>
      <c r="K53" s="89"/>
      <c r="L53" s="88"/>
      <c r="M53" s="89">
        <v>0.75</v>
      </c>
      <c r="N53" s="88">
        <v>0.62</v>
      </c>
      <c r="O53" s="89">
        <v>0.62</v>
      </c>
      <c r="P53" s="88">
        <v>0.63</v>
      </c>
      <c r="Q53" s="89">
        <v>0.65</v>
      </c>
      <c r="R53" s="88">
        <v>0.69</v>
      </c>
      <c r="S53" s="89">
        <v>0.74</v>
      </c>
      <c r="T53" s="88">
        <v>0.8</v>
      </c>
      <c r="U53" s="89">
        <v>0.85</v>
      </c>
      <c r="V53" s="88">
        <v>0.9</v>
      </c>
      <c r="W53" s="89">
        <v>1.02</v>
      </c>
      <c r="X53" s="88">
        <v>1.1</v>
      </c>
      <c r="Y53" s="89">
        <v>1.21</v>
      </c>
      <c r="Z53" s="88">
        <v>1.31</v>
      </c>
      <c r="AA53" s="89">
        <v>1.43</v>
      </c>
      <c r="AB53" s="88">
        <v>1.54</v>
      </c>
      <c r="AC53" s="89">
        <v>1.68</v>
      </c>
      <c r="AD53" s="88">
        <v>1.82</v>
      </c>
      <c r="AE53" s="89">
        <v>1.95</v>
      </c>
      <c r="AF53" s="88">
        <v>2.1</v>
      </c>
      <c r="AG53" s="89">
        <v>2.2</v>
      </c>
      <c r="AH53" s="88">
        <v>2.41</v>
      </c>
      <c r="AI53" s="89">
        <v>2.57</v>
      </c>
      <c r="AJ53" s="88">
        <v>2.74</v>
      </c>
      <c r="AK53" s="89">
        <v>2.92</v>
      </c>
      <c r="AL53" s="88">
        <v>3.1</v>
      </c>
      <c r="AM53" s="89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1:54" ht="12.75">
      <c r="A54" s="90" t="str">
        <f t="shared" si="2"/>
        <v>Janus  [IDA] (31,1)</v>
      </c>
      <c r="B54" s="87" t="s">
        <v>160</v>
      </c>
      <c r="C54" s="88" t="s">
        <v>161</v>
      </c>
      <c r="D54" s="92" t="s">
        <v>77</v>
      </c>
      <c r="E54" s="88">
        <v>31.1</v>
      </c>
      <c r="F54" s="88" t="s">
        <v>74</v>
      </c>
      <c r="G54" s="89"/>
      <c r="H54" s="88"/>
      <c r="I54" s="89"/>
      <c r="J54" s="88"/>
      <c r="K54" s="89"/>
      <c r="L54" s="88"/>
      <c r="M54" s="89"/>
      <c r="N54" s="88">
        <v>0.7</v>
      </c>
      <c r="O54" s="89">
        <v>0.69</v>
      </c>
      <c r="P54" s="88">
        <v>0.67</v>
      </c>
      <c r="Q54" s="89">
        <v>0.68</v>
      </c>
      <c r="R54" s="88">
        <v>0.69</v>
      </c>
      <c r="S54" s="89">
        <v>0.72</v>
      </c>
      <c r="T54" s="88">
        <v>0.77</v>
      </c>
      <c r="U54" s="89">
        <v>0.81</v>
      </c>
      <c r="V54" s="88">
        <v>0.87</v>
      </c>
      <c r="W54" s="89">
        <v>0.93</v>
      </c>
      <c r="X54" s="88">
        <v>1.04</v>
      </c>
      <c r="Y54" s="89">
        <v>1.1</v>
      </c>
      <c r="Z54" s="88">
        <v>1.19</v>
      </c>
      <c r="AA54" s="89">
        <v>1.29</v>
      </c>
      <c r="AB54" s="88">
        <v>1.35</v>
      </c>
      <c r="AC54" s="89">
        <v>1.46</v>
      </c>
      <c r="AD54" s="88">
        <v>1.56</v>
      </c>
      <c r="AE54" s="89">
        <v>1.65</v>
      </c>
      <c r="AF54" s="88">
        <v>1.82</v>
      </c>
      <c r="AG54" s="89">
        <v>1.91</v>
      </c>
      <c r="AH54" s="88">
        <v>2.08</v>
      </c>
      <c r="AI54" s="89">
        <v>2.23</v>
      </c>
      <c r="AJ54" s="88">
        <v>2.39</v>
      </c>
      <c r="AK54" s="89">
        <v>2.51</v>
      </c>
      <c r="AL54" s="88">
        <v>2.7</v>
      </c>
      <c r="AM54" s="89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</row>
    <row r="55" spans="1:54" ht="12.75">
      <c r="A55" s="90" t="str">
        <f aca="true" t="shared" si="3" ref="A55:A70">B55&amp;"  ["&amp;D55&amp;"] ("&amp;E55&amp;")"</f>
        <v>Jeans Astir   [IDA] (29,68)</v>
      </c>
      <c r="B55" s="87" t="s">
        <v>162</v>
      </c>
      <c r="C55" s="88" t="s">
        <v>163</v>
      </c>
      <c r="D55" s="92" t="s">
        <v>77</v>
      </c>
      <c r="E55" s="88">
        <v>29.68</v>
      </c>
      <c r="F55" s="88" t="s">
        <v>74</v>
      </c>
      <c r="G55" s="89"/>
      <c r="H55" s="88"/>
      <c r="I55" s="89"/>
      <c r="J55" s="88"/>
      <c r="K55" s="89"/>
      <c r="L55" s="88"/>
      <c r="M55" s="89">
        <v>0.74</v>
      </c>
      <c r="N55" s="88">
        <v>0.74</v>
      </c>
      <c r="O55" s="89">
        <v>0.73</v>
      </c>
      <c r="P55" s="88">
        <v>0.75</v>
      </c>
      <c r="Q55" s="89">
        <v>0.77</v>
      </c>
      <c r="R55" s="88">
        <v>0.81</v>
      </c>
      <c r="S55" s="89">
        <v>0.86</v>
      </c>
      <c r="T55" s="88">
        <v>0.92</v>
      </c>
      <c r="U55" s="89">
        <v>0.99</v>
      </c>
      <c r="V55" s="88">
        <v>1.07</v>
      </c>
      <c r="W55" s="89">
        <v>1.17</v>
      </c>
      <c r="X55" s="88">
        <v>1.27</v>
      </c>
      <c r="Y55" s="89">
        <v>1.39</v>
      </c>
      <c r="Z55" s="88">
        <v>1.52</v>
      </c>
      <c r="AA55" s="89">
        <v>1.65</v>
      </c>
      <c r="AB55" s="88">
        <v>1.78</v>
      </c>
      <c r="AC55" s="89">
        <v>1.92</v>
      </c>
      <c r="AD55" s="88">
        <v>2.07</v>
      </c>
      <c r="AE55" s="89">
        <v>2.23</v>
      </c>
      <c r="AF55" s="88">
        <v>2.4</v>
      </c>
      <c r="AG55" s="89">
        <v>2.58</v>
      </c>
      <c r="AH55" s="88">
        <v>2.78</v>
      </c>
      <c r="AI55" s="89">
        <v>3.01</v>
      </c>
      <c r="AJ55" s="88">
        <v>3.27</v>
      </c>
      <c r="AK55" s="89"/>
      <c r="AL55" s="88"/>
      <c r="AM55" s="89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</row>
    <row r="56" spans="1:54" ht="12.75">
      <c r="A56" s="90" t="str">
        <f t="shared" si="3"/>
        <v>K 21  [MD] (31,3)</v>
      </c>
      <c r="B56" s="91" t="s">
        <v>164</v>
      </c>
      <c r="C56"/>
      <c r="D56" s="92" t="s">
        <v>80</v>
      </c>
      <c r="E56" s="97">
        <v>31.3</v>
      </c>
      <c r="F56" s="88" t="s">
        <v>74</v>
      </c>
      <c r="G56" s="89"/>
      <c r="H56" s="88"/>
      <c r="I56" s="89"/>
      <c r="J56" s="88"/>
      <c r="K56" s="89"/>
      <c r="L56" s="88"/>
      <c r="M56" s="89">
        <v>1</v>
      </c>
      <c r="N56" s="93">
        <v>0.75</v>
      </c>
      <c r="O56" s="89">
        <v>0.74</v>
      </c>
      <c r="P56" s="93">
        <v>0.74</v>
      </c>
      <c r="Q56" s="89">
        <v>0.75</v>
      </c>
      <c r="R56" s="93">
        <v>0.8</v>
      </c>
      <c r="S56" s="89">
        <v>0.85</v>
      </c>
      <c r="T56" s="93">
        <v>0.9</v>
      </c>
      <c r="U56" s="89">
        <v>0.95</v>
      </c>
      <c r="V56" s="93">
        <v>1.03</v>
      </c>
      <c r="W56" s="89">
        <v>1.12</v>
      </c>
      <c r="X56" s="93">
        <v>1.23</v>
      </c>
      <c r="Y56" s="89">
        <v>1.35</v>
      </c>
      <c r="Z56" s="93">
        <v>1.47</v>
      </c>
      <c r="AA56" s="89">
        <v>1.6</v>
      </c>
      <c r="AB56" s="93">
        <v>1.72</v>
      </c>
      <c r="AC56" s="89">
        <v>1.85</v>
      </c>
      <c r="AD56" s="93">
        <v>2.02</v>
      </c>
      <c r="AE56" s="89">
        <v>2.21</v>
      </c>
      <c r="AF56" s="93">
        <v>2.4</v>
      </c>
      <c r="AG56" s="89">
        <v>2.6</v>
      </c>
      <c r="AH56" s="93">
        <v>2.8</v>
      </c>
      <c r="AI56" s="89">
        <v>3</v>
      </c>
      <c r="AJ56" s="93">
        <v>3.2</v>
      </c>
      <c r="AK56" s="89">
        <v>3.5</v>
      </c>
      <c r="AL56" s="88"/>
      <c r="AM56" s="89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</row>
    <row r="57" spans="1:54" ht="12.75">
      <c r="A57" s="90" t="str">
        <f t="shared" si="3"/>
        <v>K 23  [MD] (26,8)</v>
      </c>
      <c r="B57" s="91" t="s">
        <v>165</v>
      </c>
      <c r="C57"/>
      <c r="D57" s="92" t="s">
        <v>80</v>
      </c>
      <c r="E57" s="97">
        <v>26.8</v>
      </c>
      <c r="F57" s="88" t="s">
        <v>74</v>
      </c>
      <c r="G57" s="89"/>
      <c r="H57" s="88"/>
      <c r="I57" s="89"/>
      <c r="J57" s="88"/>
      <c r="K57" s="89"/>
      <c r="L57" s="88"/>
      <c r="M57" s="89">
        <v>0.69</v>
      </c>
      <c r="N57" s="93">
        <v>0.66</v>
      </c>
      <c r="O57" s="89">
        <v>0.68</v>
      </c>
      <c r="P57" s="93">
        <v>0.7</v>
      </c>
      <c r="Q57" s="89">
        <v>0.72</v>
      </c>
      <c r="R57" s="93">
        <v>0.77</v>
      </c>
      <c r="S57" s="89">
        <v>0.83</v>
      </c>
      <c r="T57" s="93">
        <v>0.9</v>
      </c>
      <c r="U57" s="89">
        <v>0.99</v>
      </c>
      <c r="V57" s="93">
        <v>1.09</v>
      </c>
      <c r="W57" s="89">
        <v>1.2</v>
      </c>
      <c r="X57" s="93">
        <v>1.33</v>
      </c>
      <c r="Y57" s="89">
        <v>1.45</v>
      </c>
      <c r="Z57" s="93">
        <v>1.58</v>
      </c>
      <c r="AA57" s="89">
        <v>1.7</v>
      </c>
      <c r="AB57" s="93">
        <v>1.83</v>
      </c>
      <c r="AC57" s="89">
        <v>2</v>
      </c>
      <c r="AD57" s="93">
        <v>2.19</v>
      </c>
      <c r="AE57" s="89">
        <v>2.4</v>
      </c>
      <c r="AF57" s="93">
        <v>2.6</v>
      </c>
      <c r="AG57" s="89">
        <v>2.8</v>
      </c>
      <c r="AH57" s="93">
        <v>3</v>
      </c>
      <c r="AI57" s="89">
        <v>3.2</v>
      </c>
      <c r="AJ57" s="93">
        <v>3.4</v>
      </c>
      <c r="AK57" s="89"/>
      <c r="AL57" s="88"/>
      <c r="AM57" s="89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</row>
    <row r="58" spans="1:54" ht="12.75">
      <c r="A58" s="90" t="str">
        <f t="shared" si="3"/>
        <v>Ka 10  [IDA] (24,58)</v>
      </c>
      <c r="B58" s="87" t="s">
        <v>166</v>
      </c>
      <c r="C58" s="88"/>
      <c r="D58" s="92" t="s">
        <v>77</v>
      </c>
      <c r="E58" s="88">
        <v>24.58</v>
      </c>
      <c r="F58" s="88" t="s">
        <v>74</v>
      </c>
      <c r="G58" s="89"/>
      <c r="H58" s="88"/>
      <c r="I58" s="89"/>
      <c r="J58" s="88"/>
      <c r="K58" s="89"/>
      <c r="L58" s="88">
        <v>0.78</v>
      </c>
      <c r="M58" s="89">
        <v>0.7</v>
      </c>
      <c r="N58" s="88">
        <v>0.71</v>
      </c>
      <c r="O58" s="89">
        <v>0.73</v>
      </c>
      <c r="P58" s="88">
        <v>0.78</v>
      </c>
      <c r="Q58" s="89">
        <v>0.85</v>
      </c>
      <c r="R58" s="88">
        <v>0.94</v>
      </c>
      <c r="S58" s="89">
        <v>1.02</v>
      </c>
      <c r="T58" s="88">
        <v>1.15</v>
      </c>
      <c r="U58" s="89">
        <v>1.29</v>
      </c>
      <c r="V58" s="88">
        <v>1.43</v>
      </c>
      <c r="W58" s="89">
        <v>1.59</v>
      </c>
      <c r="X58" s="88">
        <v>1.77</v>
      </c>
      <c r="Y58" s="89">
        <v>1.93</v>
      </c>
      <c r="Z58" s="88"/>
      <c r="AA58" s="89"/>
      <c r="AB58" s="88"/>
      <c r="AC58" s="89"/>
      <c r="AD58" s="88"/>
      <c r="AE58" s="89"/>
      <c r="AF58" s="88"/>
      <c r="AG58" s="89"/>
      <c r="AH58" s="88"/>
      <c r="AI58" s="89"/>
      <c r="AJ58" s="88"/>
      <c r="AK58" s="89"/>
      <c r="AL58" s="88"/>
      <c r="AM58" s="89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</row>
    <row r="59" spans="1:54" ht="12.75">
      <c r="A59" s="90" t="str">
        <f t="shared" si="3"/>
        <v>Ka 6b R/S   [IDA] (22,2)</v>
      </c>
      <c r="B59" s="87" t="s">
        <v>167</v>
      </c>
      <c r="C59" s="88" t="s">
        <v>168</v>
      </c>
      <c r="D59" s="92" t="s">
        <v>77</v>
      </c>
      <c r="E59" s="88">
        <v>22.2</v>
      </c>
      <c r="F59" s="88" t="s">
        <v>74</v>
      </c>
      <c r="G59" s="89"/>
      <c r="H59" s="88"/>
      <c r="I59" s="89"/>
      <c r="J59" s="88"/>
      <c r="K59" s="89"/>
      <c r="L59" s="88">
        <v>0.65</v>
      </c>
      <c r="M59" s="89">
        <v>0.67</v>
      </c>
      <c r="N59" s="88">
        <v>0.71</v>
      </c>
      <c r="O59" s="89">
        <v>0.76</v>
      </c>
      <c r="P59" s="88">
        <v>0.81</v>
      </c>
      <c r="Q59" s="89">
        <v>0.88</v>
      </c>
      <c r="R59" s="88">
        <v>0.97</v>
      </c>
      <c r="S59" s="89">
        <v>1.07</v>
      </c>
      <c r="T59" s="88">
        <v>1.18</v>
      </c>
      <c r="U59" s="89">
        <v>1.3</v>
      </c>
      <c r="V59" s="88">
        <v>1.43</v>
      </c>
      <c r="W59" s="89">
        <v>1.57</v>
      </c>
      <c r="X59" s="88">
        <v>1.75</v>
      </c>
      <c r="Y59" s="89">
        <v>1.94</v>
      </c>
      <c r="Z59" s="88">
        <v>2.14</v>
      </c>
      <c r="AA59" s="89">
        <v>2.35</v>
      </c>
      <c r="AB59" s="88">
        <v>2.58</v>
      </c>
      <c r="AC59" s="89">
        <v>2.81</v>
      </c>
      <c r="AD59" s="88">
        <v>3.09</v>
      </c>
      <c r="AE59" s="89">
        <v>3.34</v>
      </c>
      <c r="AF59" s="88">
        <v>3.63</v>
      </c>
      <c r="AG59" s="89">
        <v>3.94</v>
      </c>
      <c r="AH59" s="88">
        <v>4.3</v>
      </c>
      <c r="AI59" s="89">
        <v>4.62</v>
      </c>
      <c r="AJ59" s="88"/>
      <c r="AK59" s="89"/>
      <c r="AL59" s="88"/>
      <c r="AM59" s="89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</row>
    <row r="60" spans="1:54" ht="12.75">
      <c r="A60" s="90" t="str">
        <f t="shared" si="3"/>
        <v>Ka 6cr  [IDA] (22,2)</v>
      </c>
      <c r="B60" s="87" t="s">
        <v>169</v>
      </c>
      <c r="C60" s="88" t="s">
        <v>170</v>
      </c>
      <c r="D60" s="92" t="s">
        <v>77</v>
      </c>
      <c r="E60" s="88">
        <v>22.2</v>
      </c>
      <c r="F60" s="88" t="s">
        <v>74</v>
      </c>
      <c r="G60" s="89"/>
      <c r="H60" s="88"/>
      <c r="I60" s="89"/>
      <c r="J60" s="88"/>
      <c r="K60" s="89"/>
      <c r="L60" s="88">
        <v>0.69</v>
      </c>
      <c r="M60" s="89">
        <v>0.7</v>
      </c>
      <c r="N60" s="88">
        <v>0.72</v>
      </c>
      <c r="O60" s="89">
        <v>0.78</v>
      </c>
      <c r="P60" s="88">
        <v>0.84</v>
      </c>
      <c r="Q60" s="89">
        <v>0.91</v>
      </c>
      <c r="R60" s="88">
        <v>1.01</v>
      </c>
      <c r="S60" s="89">
        <v>1.12</v>
      </c>
      <c r="T60" s="88">
        <v>1.23</v>
      </c>
      <c r="U60" s="89">
        <v>1.39</v>
      </c>
      <c r="V60" s="88">
        <v>1.52</v>
      </c>
      <c r="W60" s="89">
        <v>1.69</v>
      </c>
      <c r="X60" s="88">
        <v>1.87</v>
      </c>
      <c r="Y60" s="89">
        <v>2.07</v>
      </c>
      <c r="Z60" s="88">
        <v>2.3</v>
      </c>
      <c r="AA60" s="89">
        <v>2.52</v>
      </c>
      <c r="AB60" s="88">
        <v>2.77</v>
      </c>
      <c r="AC60" s="89">
        <v>3.04</v>
      </c>
      <c r="AD60" s="88">
        <v>3.31</v>
      </c>
      <c r="AE60" s="89">
        <v>3.64</v>
      </c>
      <c r="AF60" s="88">
        <v>3.94</v>
      </c>
      <c r="AG60" s="89">
        <v>4.26</v>
      </c>
      <c r="AH60" s="88"/>
      <c r="AI60" s="89"/>
      <c r="AJ60" s="88"/>
      <c r="AK60" s="89"/>
      <c r="AL60" s="88"/>
      <c r="AM60" s="89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</row>
    <row r="61" spans="1:54" ht="12.75">
      <c r="A61" s="90" t="str">
        <f t="shared" si="3"/>
        <v>Ka 6cr  [IDA] (22,2)</v>
      </c>
      <c r="B61" s="91" t="s">
        <v>169</v>
      </c>
      <c r="C61"/>
      <c r="D61" s="92" t="s">
        <v>77</v>
      </c>
      <c r="E61" s="97">
        <v>22.2</v>
      </c>
      <c r="F61" s="88" t="s">
        <v>74</v>
      </c>
      <c r="G61" s="89"/>
      <c r="H61" s="88"/>
      <c r="I61" s="89"/>
      <c r="J61" s="88"/>
      <c r="K61" s="89"/>
      <c r="L61" s="88"/>
      <c r="M61" s="89">
        <v>0.7</v>
      </c>
      <c r="N61" s="93">
        <v>0.72</v>
      </c>
      <c r="O61" s="89">
        <v>0.78</v>
      </c>
      <c r="P61" s="93">
        <v>0.84</v>
      </c>
      <c r="Q61" s="89">
        <v>0.91</v>
      </c>
      <c r="R61" s="93">
        <v>1.01</v>
      </c>
      <c r="S61" s="89">
        <v>1.12</v>
      </c>
      <c r="T61" s="93">
        <v>1.23</v>
      </c>
      <c r="U61" s="89">
        <v>1.39</v>
      </c>
      <c r="V61" s="93">
        <v>1.52</v>
      </c>
      <c r="W61" s="89">
        <v>1.69</v>
      </c>
      <c r="X61" s="93">
        <v>1.87</v>
      </c>
      <c r="Y61" s="89">
        <v>2.07</v>
      </c>
      <c r="Z61" s="93">
        <v>2.3</v>
      </c>
      <c r="AA61" s="89">
        <v>2.52</v>
      </c>
      <c r="AB61" s="93">
        <v>2.77</v>
      </c>
      <c r="AC61" s="89">
        <v>3.04</v>
      </c>
      <c r="AD61" s="93">
        <v>3.31</v>
      </c>
      <c r="AE61" s="89">
        <v>3.64</v>
      </c>
      <c r="AF61" s="93">
        <v>3.94</v>
      </c>
      <c r="AG61" s="89"/>
      <c r="AH61" s="93"/>
      <c r="AI61" s="89"/>
      <c r="AJ61" s="93"/>
      <c r="AK61" s="89"/>
      <c r="AL61" s="88"/>
      <c r="AM61" s="8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</row>
    <row r="62" spans="1:54" ht="12.75">
      <c r="A62" s="90" t="str">
        <f t="shared" si="3"/>
        <v>Ka 7  [IDA] (26,6)</v>
      </c>
      <c r="B62" s="87" t="s">
        <v>171</v>
      </c>
      <c r="C62" s="88" t="s">
        <v>172</v>
      </c>
      <c r="D62" s="92" t="s">
        <v>77</v>
      </c>
      <c r="E62" s="88">
        <v>26.6</v>
      </c>
      <c r="F62" s="88" t="s">
        <v>74</v>
      </c>
      <c r="G62" s="89"/>
      <c r="H62" s="88"/>
      <c r="I62" s="89"/>
      <c r="J62" s="88"/>
      <c r="K62" s="89"/>
      <c r="L62" s="88">
        <v>0.86</v>
      </c>
      <c r="M62" s="89">
        <v>0.88</v>
      </c>
      <c r="N62" s="88">
        <v>0.91</v>
      </c>
      <c r="O62" s="89">
        <v>0.94</v>
      </c>
      <c r="P62" s="88">
        <v>0.97</v>
      </c>
      <c r="Q62" s="89">
        <v>1</v>
      </c>
      <c r="R62" s="88">
        <v>1.05</v>
      </c>
      <c r="S62" s="89">
        <v>1.12</v>
      </c>
      <c r="T62" s="88">
        <v>1.2</v>
      </c>
      <c r="U62" s="89">
        <v>1.33</v>
      </c>
      <c r="V62" s="88">
        <v>1.48</v>
      </c>
      <c r="W62" s="89">
        <v>1.64</v>
      </c>
      <c r="X62" s="88">
        <v>1.8</v>
      </c>
      <c r="Y62" s="89">
        <v>2</v>
      </c>
      <c r="Z62" s="88">
        <v>2.16</v>
      </c>
      <c r="AA62" s="89">
        <v>2.38</v>
      </c>
      <c r="AB62" s="88">
        <v>2.6</v>
      </c>
      <c r="AC62" s="89">
        <v>2.84</v>
      </c>
      <c r="AD62" s="88">
        <v>3.13</v>
      </c>
      <c r="AE62" s="89">
        <v>3.45</v>
      </c>
      <c r="AF62" s="88">
        <v>3.76</v>
      </c>
      <c r="AG62" s="89">
        <v>4.12</v>
      </c>
      <c r="AH62" s="88">
        <v>4.55</v>
      </c>
      <c r="AI62" s="89">
        <v>4.9</v>
      </c>
      <c r="AJ62" s="88"/>
      <c r="AK62" s="89"/>
      <c r="AL62" s="88"/>
      <c r="AM62" s="89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</row>
    <row r="63" spans="1:54" ht="12.75">
      <c r="A63" s="90" t="str">
        <f t="shared" si="3"/>
        <v>Ka 8  [IDA] (19,8)</v>
      </c>
      <c r="B63" s="87" t="s">
        <v>173</v>
      </c>
      <c r="C63" s="88" t="s">
        <v>174</v>
      </c>
      <c r="D63" s="92" t="s">
        <v>77</v>
      </c>
      <c r="E63" s="88">
        <v>19.8</v>
      </c>
      <c r="F63" s="88" t="s">
        <v>74</v>
      </c>
      <c r="G63" s="89"/>
      <c r="H63" s="88"/>
      <c r="I63" s="89"/>
      <c r="J63" s="88"/>
      <c r="K63" s="89">
        <v>0.7</v>
      </c>
      <c r="L63" s="88">
        <v>0.74</v>
      </c>
      <c r="M63" s="89">
        <v>0.8</v>
      </c>
      <c r="N63" s="88">
        <v>0.86</v>
      </c>
      <c r="O63" s="89">
        <v>0.95</v>
      </c>
      <c r="P63" s="88">
        <v>1.04</v>
      </c>
      <c r="Q63" s="89">
        <v>1.14</v>
      </c>
      <c r="R63" s="88">
        <v>1.26</v>
      </c>
      <c r="S63" s="89">
        <v>1.39</v>
      </c>
      <c r="T63" s="88">
        <v>1.57</v>
      </c>
      <c r="U63" s="89">
        <v>1.75</v>
      </c>
      <c r="V63" s="88">
        <v>1.97</v>
      </c>
      <c r="W63" s="89">
        <v>2.22</v>
      </c>
      <c r="X63" s="88">
        <v>2.48</v>
      </c>
      <c r="Y63" s="89">
        <v>2.74</v>
      </c>
      <c r="Z63" s="88">
        <v>3.03</v>
      </c>
      <c r="AA63" s="89">
        <v>3.33</v>
      </c>
      <c r="AB63" s="88">
        <v>3.65</v>
      </c>
      <c r="AC63" s="89">
        <v>4</v>
      </c>
      <c r="AD63" s="88">
        <v>4.32</v>
      </c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</row>
    <row r="64" spans="1:54" ht="12.75">
      <c r="A64" s="90" t="str">
        <f t="shared" si="3"/>
        <v>Kestrel   H.401  [IDA] (31,7)</v>
      </c>
      <c r="B64" s="87" t="s">
        <v>175</v>
      </c>
      <c r="C64" s="88" t="s">
        <v>176</v>
      </c>
      <c r="D64" s="92" t="s">
        <v>77</v>
      </c>
      <c r="E64" s="88">
        <v>31.7</v>
      </c>
      <c r="F64" s="88" t="s">
        <v>74</v>
      </c>
      <c r="G64" s="89"/>
      <c r="H64" s="88"/>
      <c r="I64" s="89"/>
      <c r="J64" s="88"/>
      <c r="K64" s="89"/>
      <c r="L64" s="88"/>
      <c r="M64" s="89"/>
      <c r="N64" s="88">
        <v>0.61</v>
      </c>
      <c r="O64" s="89">
        <v>0.59</v>
      </c>
      <c r="P64" s="88">
        <v>0.58</v>
      </c>
      <c r="Q64" s="89">
        <v>0.59</v>
      </c>
      <c r="R64" s="88">
        <v>0.62</v>
      </c>
      <c r="S64" s="89">
        <v>0.64</v>
      </c>
      <c r="T64" s="88">
        <v>0.7</v>
      </c>
      <c r="U64" s="89">
        <v>0.76</v>
      </c>
      <c r="V64" s="88">
        <v>0.81</v>
      </c>
      <c r="W64" s="89">
        <v>0.9</v>
      </c>
      <c r="X64" s="88">
        <v>0.98</v>
      </c>
      <c r="Y64" s="89">
        <v>1.05</v>
      </c>
      <c r="Z64" s="88">
        <v>1.12</v>
      </c>
      <c r="AA64" s="89">
        <v>1.19</v>
      </c>
      <c r="AB64" s="88">
        <v>1.26</v>
      </c>
      <c r="AC64" s="89">
        <v>1.39</v>
      </c>
      <c r="AD64" s="88">
        <v>1.48</v>
      </c>
      <c r="AE64" s="89">
        <v>1.59</v>
      </c>
      <c r="AF64" s="88">
        <v>1.71</v>
      </c>
      <c r="AG64" s="89">
        <v>1.85</v>
      </c>
      <c r="AH64" s="88">
        <v>2.01</v>
      </c>
      <c r="AI64" s="89">
        <v>2.22</v>
      </c>
      <c r="AJ64" s="88">
        <v>2.42</v>
      </c>
      <c r="AK64" s="89"/>
      <c r="AL64" s="88"/>
      <c r="AM64" s="89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</row>
    <row r="65" spans="1:54" ht="12.75">
      <c r="A65" s="90" t="str">
        <f t="shared" si="3"/>
        <v>Kestrel 19 T.59D  [IDA] (33,4)</v>
      </c>
      <c r="B65" s="87" t="s">
        <v>177</v>
      </c>
      <c r="C65" s="88" t="s">
        <v>178</v>
      </c>
      <c r="D65" s="92" t="s">
        <v>77</v>
      </c>
      <c r="E65" s="88">
        <v>33.4</v>
      </c>
      <c r="F65" s="88" t="s">
        <v>74</v>
      </c>
      <c r="G65" s="89"/>
      <c r="H65" s="88"/>
      <c r="I65" s="89"/>
      <c r="J65" s="88"/>
      <c r="K65" s="89"/>
      <c r="L65" s="88"/>
      <c r="M65" s="89"/>
      <c r="N65" s="88">
        <v>0.6</v>
      </c>
      <c r="O65" s="89">
        <v>0.57</v>
      </c>
      <c r="P65" s="88">
        <v>0.57</v>
      </c>
      <c r="Q65" s="89">
        <v>0.58</v>
      </c>
      <c r="R65" s="88">
        <v>0.6</v>
      </c>
      <c r="S65" s="89">
        <v>0.63</v>
      </c>
      <c r="T65" s="88">
        <v>0.68</v>
      </c>
      <c r="U65" s="89">
        <v>0.74</v>
      </c>
      <c r="V65" s="88">
        <v>0.8</v>
      </c>
      <c r="W65" s="89">
        <v>0.86</v>
      </c>
      <c r="X65" s="88">
        <v>0.93</v>
      </c>
      <c r="Y65" s="89">
        <v>1.01</v>
      </c>
      <c r="Z65" s="88">
        <v>1.1</v>
      </c>
      <c r="AA65" s="89">
        <v>1.19</v>
      </c>
      <c r="AB65" s="88">
        <v>1.3</v>
      </c>
      <c r="AC65" s="89">
        <v>1.4</v>
      </c>
      <c r="AD65" s="88">
        <v>1.51</v>
      </c>
      <c r="AE65" s="89">
        <v>1.64</v>
      </c>
      <c r="AF65" s="88">
        <v>1.75</v>
      </c>
      <c r="AG65" s="89">
        <v>1.88</v>
      </c>
      <c r="AH65" s="88">
        <v>2.03</v>
      </c>
      <c r="AI65" s="89">
        <v>2.18</v>
      </c>
      <c r="AJ65" s="88">
        <v>2.36</v>
      </c>
      <c r="AK65" s="89">
        <v>2.57</v>
      </c>
      <c r="AL65" s="88">
        <v>2.85</v>
      </c>
      <c r="AM65" s="89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</row>
    <row r="66" spans="1:54" ht="12.75">
      <c r="A66" s="90" t="str">
        <f t="shared" si="3"/>
        <v>Kestrel 22 H.604  [IDA] (35,8)</v>
      </c>
      <c r="B66" s="87" t="s">
        <v>179</v>
      </c>
      <c r="C66" s="88" t="s">
        <v>180</v>
      </c>
      <c r="D66" s="92" t="s">
        <v>77</v>
      </c>
      <c r="E66" s="88">
        <v>35.8</v>
      </c>
      <c r="F66" s="88" t="s">
        <v>74</v>
      </c>
      <c r="G66" s="89"/>
      <c r="H66" s="88"/>
      <c r="I66" s="89"/>
      <c r="J66" s="88"/>
      <c r="K66" s="89"/>
      <c r="L66" s="88"/>
      <c r="M66" s="89">
        <v>0.64</v>
      </c>
      <c r="N66" s="88">
        <v>0.58</v>
      </c>
      <c r="O66" s="89">
        <v>0.53</v>
      </c>
      <c r="P66" s="88">
        <v>0.53</v>
      </c>
      <c r="Q66" s="89">
        <v>0.53</v>
      </c>
      <c r="R66" s="88">
        <v>0.54</v>
      </c>
      <c r="S66" s="89">
        <v>0.57</v>
      </c>
      <c r="T66" s="88">
        <v>0.6</v>
      </c>
      <c r="U66" s="89">
        <v>0.65</v>
      </c>
      <c r="V66" s="88">
        <v>0.7</v>
      </c>
      <c r="W66" s="89">
        <v>0.75</v>
      </c>
      <c r="X66" s="88">
        <v>0.81</v>
      </c>
      <c r="Y66" s="89">
        <v>0.87</v>
      </c>
      <c r="Z66" s="88">
        <v>0.94</v>
      </c>
      <c r="AA66" s="89">
        <v>1.02</v>
      </c>
      <c r="AB66" s="88">
        <v>1.09</v>
      </c>
      <c r="AC66" s="89">
        <v>1.18</v>
      </c>
      <c r="AD66" s="88">
        <v>1.28</v>
      </c>
      <c r="AE66" s="89">
        <v>1.37</v>
      </c>
      <c r="AF66" s="88">
        <v>1.48</v>
      </c>
      <c r="AG66" s="89">
        <v>1.6</v>
      </c>
      <c r="AH66" s="88">
        <v>1.74</v>
      </c>
      <c r="AI66" s="89">
        <v>1.87</v>
      </c>
      <c r="AJ66" s="88">
        <v>2.04</v>
      </c>
      <c r="AK66" s="89">
        <v>2.23</v>
      </c>
      <c r="AL66" s="88">
        <v>2.44</v>
      </c>
      <c r="AM66" s="89">
        <v>2.7</v>
      </c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</row>
    <row r="67" spans="1:54" ht="12.75">
      <c r="A67" s="90" t="str">
        <f t="shared" si="3"/>
        <v>Kestrel H.401  [IDA] (32,8)</v>
      </c>
      <c r="B67" s="87" t="s">
        <v>181</v>
      </c>
      <c r="C67" s="88" t="s">
        <v>182</v>
      </c>
      <c r="D67" s="92" t="s">
        <v>77</v>
      </c>
      <c r="E67" s="88">
        <v>32.8</v>
      </c>
      <c r="F67" s="88" t="s">
        <v>74</v>
      </c>
      <c r="G67" s="89"/>
      <c r="H67" s="88"/>
      <c r="I67" s="89"/>
      <c r="J67" s="88"/>
      <c r="K67" s="89"/>
      <c r="L67" s="88"/>
      <c r="M67" s="89"/>
      <c r="N67" s="88">
        <v>0.66</v>
      </c>
      <c r="O67" s="89">
        <v>0.64</v>
      </c>
      <c r="P67" s="88">
        <v>0.63</v>
      </c>
      <c r="Q67" s="89">
        <v>0.63</v>
      </c>
      <c r="R67" s="88">
        <v>0.64</v>
      </c>
      <c r="S67" s="89">
        <v>0.67</v>
      </c>
      <c r="T67" s="88">
        <v>0.71</v>
      </c>
      <c r="U67" s="89">
        <v>0.76</v>
      </c>
      <c r="V67" s="88">
        <v>0.82</v>
      </c>
      <c r="W67" s="89">
        <v>0.88</v>
      </c>
      <c r="X67" s="88">
        <v>0.96</v>
      </c>
      <c r="Y67" s="89">
        <v>1.04</v>
      </c>
      <c r="Z67" s="88">
        <v>1.12</v>
      </c>
      <c r="AA67" s="89">
        <v>1.22</v>
      </c>
      <c r="AB67" s="88">
        <v>1.3</v>
      </c>
      <c r="AC67" s="89">
        <v>1.4</v>
      </c>
      <c r="AD67" s="88">
        <v>1.49</v>
      </c>
      <c r="AE67" s="89">
        <v>1.59</v>
      </c>
      <c r="AF67" s="88">
        <v>1.69</v>
      </c>
      <c r="AG67" s="89">
        <v>1.78</v>
      </c>
      <c r="AH67" s="88">
        <v>1.89</v>
      </c>
      <c r="AI67" s="89">
        <v>1.98</v>
      </c>
      <c r="AJ67" s="88"/>
      <c r="AK67" s="89"/>
      <c r="AL67" s="88"/>
      <c r="AM67" s="89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</row>
    <row r="68" spans="1:54" ht="12.75">
      <c r="A68" s="90" t="str">
        <f t="shared" si="3"/>
        <v>Kestrel H-604/17  [IDA] (35,2)</v>
      </c>
      <c r="B68" s="87" t="s">
        <v>183</v>
      </c>
      <c r="C68" s="88" t="s">
        <v>146</v>
      </c>
      <c r="D68" s="92" t="s">
        <v>77</v>
      </c>
      <c r="E68" s="88">
        <v>35.2</v>
      </c>
      <c r="F68" s="88" t="s">
        <v>74</v>
      </c>
      <c r="G68" s="89"/>
      <c r="H68" s="88"/>
      <c r="I68" s="89"/>
      <c r="J68" s="88"/>
      <c r="K68" s="89"/>
      <c r="L68" s="88"/>
      <c r="M68" s="89"/>
      <c r="N68" s="88">
        <v>0.56</v>
      </c>
      <c r="O68" s="89">
        <v>0.53</v>
      </c>
      <c r="P68" s="88">
        <v>0.54</v>
      </c>
      <c r="Q68" s="89">
        <v>0.55</v>
      </c>
      <c r="R68" s="88">
        <v>0.58</v>
      </c>
      <c r="S68" s="89">
        <v>0.62</v>
      </c>
      <c r="T68" s="88">
        <v>0.66</v>
      </c>
      <c r="U68" s="89">
        <v>0.7</v>
      </c>
      <c r="V68" s="88">
        <v>0.77</v>
      </c>
      <c r="W68" s="89">
        <v>0.84</v>
      </c>
      <c r="X68" s="88">
        <v>0.93</v>
      </c>
      <c r="Y68" s="89">
        <v>1.02</v>
      </c>
      <c r="Z68" s="88">
        <v>1.11</v>
      </c>
      <c r="AA68" s="89">
        <v>1.2</v>
      </c>
      <c r="AB68" s="88">
        <v>1.31</v>
      </c>
      <c r="AC68" s="89">
        <v>1.41</v>
      </c>
      <c r="AD68" s="88">
        <v>1.5</v>
      </c>
      <c r="AE68" s="89">
        <v>1.6</v>
      </c>
      <c r="AF68" s="88">
        <v>1.71</v>
      </c>
      <c r="AG68" s="89">
        <v>1.82</v>
      </c>
      <c r="AH68" s="88">
        <v>1.93</v>
      </c>
      <c r="AI68" s="89">
        <v>2.05</v>
      </c>
      <c r="AJ68" s="88">
        <v>2.17</v>
      </c>
      <c r="AK68" s="89">
        <v>2.3</v>
      </c>
      <c r="AL68" s="88">
        <v>2.43</v>
      </c>
      <c r="AM68" s="89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</row>
    <row r="69" spans="1:54" ht="12.75">
      <c r="A69" s="90" t="str">
        <f t="shared" si="3"/>
        <v>Kranich lll  [IDA] (24,2)</v>
      </c>
      <c r="B69" s="87" t="s">
        <v>184</v>
      </c>
      <c r="C69" s="88" t="s">
        <v>185</v>
      </c>
      <c r="D69" s="92" t="s">
        <v>77</v>
      </c>
      <c r="E69" s="88">
        <v>24.2</v>
      </c>
      <c r="F69" s="88" t="s">
        <v>74</v>
      </c>
      <c r="G69" s="89"/>
      <c r="H69" s="88"/>
      <c r="I69" s="89"/>
      <c r="J69" s="88"/>
      <c r="K69" s="89"/>
      <c r="L69" s="88">
        <v>0.82</v>
      </c>
      <c r="M69" s="89">
        <v>0.8</v>
      </c>
      <c r="N69" s="88">
        <v>0.83</v>
      </c>
      <c r="O69" s="89">
        <v>0.85</v>
      </c>
      <c r="P69" s="88">
        <v>0.9</v>
      </c>
      <c r="Q69" s="89">
        <v>0.95</v>
      </c>
      <c r="R69" s="88">
        <v>1.04</v>
      </c>
      <c r="S69" s="89">
        <v>1.15</v>
      </c>
      <c r="T69" s="88">
        <v>1.27</v>
      </c>
      <c r="U69" s="89">
        <v>1.41</v>
      </c>
      <c r="V69" s="88">
        <v>1.56</v>
      </c>
      <c r="W69" s="89">
        <v>1.75</v>
      </c>
      <c r="X69" s="88">
        <v>1.94</v>
      </c>
      <c r="Y69" s="89">
        <v>2.13</v>
      </c>
      <c r="Z69" s="88">
        <v>2.35</v>
      </c>
      <c r="AA69" s="89">
        <v>2.57</v>
      </c>
      <c r="AB69" s="88">
        <v>2.79</v>
      </c>
      <c r="AC69" s="89">
        <v>3.04</v>
      </c>
      <c r="AD69" s="88">
        <v>3.3</v>
      </c>
      <c r="AE69" s="89">
        <v>3.6</v>
      </c>
      <c r="AF69" s="88">
        <v>3.95</v>
      </c>
      <c r="AG69" s="89">
        <v>4.29</v>
      </c>
      <c r="AH69" s="88"/>
      <c r="AI69" s="89"/>
      <c r="AJ69" s="88"/>
      <c r="AK69" s="89"/>
      <c r="AL69" s="88"/>
      <c r="AM69" s="89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</row>
    <row r="70" spans="1:54" ht="12.75">
      <c r="A70" s="90" t="str">
        <f t="shared" si="3"/>
        <v>L+A7S 3a  [IDA] (32,6)</v>
      </c>
      <c r="B70" s="87" t="s">
        <v>186</v>
      </c>
      <c r="C70" s="88" t="s">
        <v>187</v>
      </c>
      <c r="D70" s="92" t="s">
        <v>77</v>
      </c>
      <c r="E70" s="88">
        <v>32.6</v>
      </c>
      <c r="F70" s="88" t="s">
        <v>74</v>
      </c>
      <c r="G70" s="89"/>
      <c r="H70" s="88"/>
      <c r="I70" s="89"/>
      <c r="J70" s="88"/>
      <c r="K70" s="89"/>
      <c r="L70" s="88"/>
      <c r="M70" s="89">
        <v>0.67</v>
      </c>
      <c r="N70" s="88">
        <v>0.64</v>
      </c>
      <c r="O70" s="89">
        <v>0.63</v>
      </c>
      <c r="P70" s="88">
        <v>0.63</v>
      </c>
      <c r="Q70" s="89">
        <v>0.64</v>
      </c>
      <c r="R70" s="88">
        <v>0.66</v>
      </c>
      <c r="S70" s="89">
        <v>0.7</v>
      </c>
      <c r="T70" s="88">
        <v>0.74</v>
      </c>
      <c r="U70" s="89">
        <v>0.78</v>
      </c>
      <c r="V70" s="88">
        <v>0.83</v>
      </c>
      <c r="W70" s="89">
        <v>0.89</v>
      </c>
      <c r="X70" s="88">
        <v>0.96</v>
      </c>
      <c r="Y70" s="89" t="s">
        <v>188</v>
      </c>
      <c r="Z70" s="88">
        <v>1.15</v>
      </c>
      <c r="AA70" s="89">
        <v>1.25</v>
      </c>
      <c r="AB70" s="88">
        <v>1.36</v>
      </c>
      <c r="AC70" s="89">
        <v>1.47</v>
      </c>
      <c r="AD70" s="88">
        <v>1.59</v>
      </c>
      <c r="AE70" s="89">
        <v>1.71</v>
      </c>
      <c r="AF70" s="88">
        <v>1.84</v>
      </c>
      <c r="AG70" s="89">
        <v>1.96</v>
      </c>
      <c r="AH70" s="88" t="s">
        <v>189</v>
      </c>
      <c r="AI70" s="89">
        <v>2.22</v>
      </c>
      <c r="AJ70" s="88">
        <v>2.36</v>
      </c>
      <c r="AK70" s="89">
        <v>2.5</v>
      </c>
      <c r="AL70" s="88">
        <v>2.66</v>
      </c>
      <c r="AM70" s="89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</row>
    <row r="71" spans="1:54" ht="12.75">
      <c r="A71" s="90" t="str">
        <f aca="true" t="shared" si="4" ref="A71:A86">B71&amp;"  ["&amp;D71&amp;"] ("&amp;E71&amp;")"</f>
        <v>Libelle 201  [IDA] (29,1)</v>
      </c>
      <c r="B71" s="91" t="s">
        <v>190</v>
      </c>
      <c r="C71"/>
      <c r="D71" s="92" t="s">
        <v>77</v>
      </c>
      <c r="E71" s="97">
        <v>29.1</v>
      </c>
      <c r="F71" s="88" t="s">
        <v>74</v>
      </c>
      <c r="G71" s="89"/>
      <c r="H71" s="88"/>
      <c r="I71" s="89"/>
      <c r="J71" s="88"/>
      <c r="K71" s="89"/>
      <c r="L71" s="88"/>
      <c r="M71" s="89">
        <v>0</v>
      </c>
      <c r="N71" s="93">
        <v>0.72</v>
      </c>
      <c r="O71" s="89">
        <v>0.68</v>
      </c>
      <c r="P71" s="93">
        <v>0.67</v>
      </c>
      <c r="Q71" s="89">
        <v>0.68</v>
      </c>
      <c r="R71" s="93">
        <v>0.7</v>
      </c>
      <c r="S71" s="89">
        <v>0.75</v>
      </c>
      <c r="T71" s="93">
        <v>0.85</v>
      </c>
      <c r="U71" s="89">
        <v>0.9</v>
      </c>
      <c r="V71" s="93">
        <v>1.02</v>
      </c>
      <c r="W71" s="89">
        <v>1.14</v>
      </c>
      <c r="X71" s="93">
        <v>1.28</v>
      </c>
      <c r="Y71" s="89">
        <v>1.43</v>
      </c>
      <c r="Z71" s="93">
        <v>1.57</v>
      </c>
      <c r="AA71" s="89">
        <v>1.73</v>
      </c>
      <c r="AB71" s="93">
        <v>1.89</v>
      </c>
      <c r="AC71" s="89">
        <v>2.06</v>
      </c>
      <c r="AD71" s="93"/>
      <c r="AE71" s="89"/>
      <c r="AF71" s="93"/>
      <c r="AG71" s="89"/>
      <c r="AH71" s="93"/>
      <c r="AI71" s="89"/>
      <c r="AJ71" s="93"/>
      <c r="AK71" s="89"/>
      <c r="AL71" s="88"/>
      <c r="AM71" s="89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</row>
    <row r="72" spans="1:54" ht="12.75">
      <c r="A72" s="90" t="str">
        <f t="shared" si="4"/>
        <v>Libelle H-301B  [IDA] (29,8)</v>
      </c>
      <c r="B72" s="87" t="s">
        <v>191</v>
      </c>
      <c r="C72" s="88" t="s">
        <v>192</v>
      </c>
      <c r="D72" s="92" t="s">
        <v>77</v>
      </c>
      <c r="E72" s="88">
        <v>29.8</v>
      </c>
      <c r="F72" s="88" t="s">
        <v>74</v>
      </c>
      <c r="G72" s="89"/>
      <c r="H72" s="88"/>
      <c r="I72" s="89"/>
      <c r="J72" s="88"/>
      <c r="K72" s="89"/>
      <c r="L72" s="88"/>
      <c r="M72" s="89"/>
      <c r="N72" s="88">
        <v>0.61</v>
      </c>
      <c r="O72" s="89">
        <v>0.6</v>
      </c>
      <c r="P72" s="88">
        <v>0.59</v>
      </c>
      <c r="Q72" s="89">
        <v>0.61</v>
      </c>
      <c r="R72" s="88">
        <v>0.65</v>
      </c>
      <c r="S72" s="89">
        <v>0.69</v>
      </c>
      <c r="T72" s="88">
        <v>0.75</v>
      </c>
      <c r="U72" s="89">
        <v>0.82</v>
      </c>
      <c r="V72" s="88">
        <v>0.89</v>
      </c>
      <c r="W72" s="89">
        <v>0.98</v>
      </c>
      <c r="X72" s="88">
        <v>1.07</v>
      </c>
      <c r="Y72" s="89">
        <v>1.16</v>
      </c>
      <c r="Z72" s="88">
        <v>1.26</v>
      </c>
      <c r="AA72" s="89">
        <v>1.36</v>
      </c>
      <c r="AB72" s="88">
        <v>1.47</v>
      </c>
      <c r="AC72" s="89">
        <v>1.6</v>
      </c>
      <c r="AD72" s="88">
        <v>1.72</v>
      </c>
      <c r="AE72" s="89">
        <v>1.86</v>
      </c>
      <c r="AF72" s="88">
        <v>2.03</v>
      </c>
      <c r="AG72" s="89"/>
      <c r="AH72" s="88"/>
      <c r="AI72" s="89"/>
      <c r="AJ72" s="88"/>
      <c r="AK72" s="89"/>
      <c r="AL72" s="88"/>
      <c r="AM72" s="89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</row>
    <row r="73" spans="1:54" ht="12.75">
      <c r="A73" s="90" t="str">
        <f t="shared" si="4"/>
        <v>LS 1 C  [IDA] (29,5)</v>
      </c>
      <c r="B73" s="87" t="s">
        <v>193</v>
      </c>
      <c r="C73" s="88" t="s">
        <v>194</v>
      </c>
      <c r="D73" s="92" t="s">
        <v>77</v>
      </c>
      <c r="E73" s="88">
        <v>29.5</v>
      </c>
      <c r="F73" s="88" t="s">
        <v>74</v>
      </c>
      <c r="G73" s="89"/>
      <c r="H73" s="88"/>
      <c r="I73" s="89"/>
      <c r="J73" s="88"/>
      <c r="K73" s="89"/>
      <c r="L73" s="88"/>
      <c r="M73" s="89"/>
      <c r="N73" s="88"/>
      <c r="O73" s="89">
        <v>0.63</v>
      </c>
      <c r="P73" s="88">
        <v>0.66</v>
      </c>
      <c r="Q73" s="89">
        <v>0.7</v>
      </c>
      <c r="R73" s="88">
        <v>0.75</v>
      </c>
      <c r="S73" s="89">
        <v>0.81</v>
      </c>
      <c r="T73" s="88">
        <v>0.88</v>
      </c>
      <c r="U73" s="89">
        <v>0.97</v>
      </c>
      <c r="V73" s="88">
        <v>1.07</v>
      </c>
      <c r="W73" s="89">
        <v>1.19</v>
      </c>
      <c r="X73" s="88">
        <v>1.31</v>
      </c>
      <c r="Y73" s="89">
        <v>1.46</v>
      </c>
      <c r="Z73" s="88">
        <v>1.6</v>
      </c>
      <c r="AA73" s="89">
        <v>1.76</v>
      </c>
      <c r="AB73" s="88">
        <v>1.92</v>
      </c>
      <c r="AC73" s="89">
        <v>2.09</v>
      </c>
      <c r="AD73" s="88">
        <v>2.26</v>
      </c>
      <c r="AE73" s="89"/>
      <c r="AF73" s="88"/>
      <c r="AG73" s="89"/>
      <c r="AH73" s="88"/>
      <c r="AI73" s="89"/>
      <c r="AJ73" s="88"/>
      <c r="AK73" s="89"/>
      <c r="AL73" s="88"/>
      <c r="AM73" s="89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</row>
    <row r="74" spans="1:54" ht="12.75">
      <c r="A74" s="90" t="str">
        <f t="shared" si="4"/>
        <v>LS 1 f  [IDA] (35,5)</v>
      </c>
      <c r="B74" s="87" t="s">
        <v>195</v>
      </c>
      <c r="C74" s="88" t="s">
        <v>196</v>
      </c>
      <c r="D74" s="92" t="s">
        <v>77</v>
      </c>
      <c r="E74" s="88">
        <v>35.5</v>
      </c>
      <c r="F74" s="88" t="s">
        <v>74</v>
      </c>
      <c r="G74" s="89"/>
      <c r="H74" s="88"/>
      <c r="I74" s="89"/>
      <c r="J74" s="88"/>
      <c r="K74" s="89"/>
      <c r="L74" s="88"/>
      <c r="M74" s="89">
        <v>0.76</v>
      </c>
      <c r="N74" s="88">
        <v>0.67</v>
      </c>
      <c r="O74" s="89">
        <v>0.64</v>
      </c>
      <c r="P74" s="88">
        <v>0.65</v>
      </c>
      <c r="Q74" s="89">
        <v>0.68</v>
      </c>
      <c r="R74" s="88">
        <v>0.71</v>
      </c>
      <c r="S74" s="89">
        <v>0.75</v>
      </c>
      <c r="T74" s="88">
        <v>0.8</v>
      </c>
      <c r="U74" s="89">
        <v>0.85</v>
      </c>
      <c r="V74" s="88">
        <v>0.89</v>
      </c>
      <c r="W74" s="89">
        <v>0.98</v>
      </c>
      <c r="X74" s="88">
        <v>1.07</v>
      </c>
      <c r="Y74" s="89">
        <v>1.17</v>
      </c>
      <c r="Z74" s="88">
        <v>1.26</v>
      </c>
      <c r="AA74" s="89">
        <v>1.37</v>
      </c>
      <c r="AB74" s="88">
        <v>1.48</v>
      </c>
      <c r="AC74" s="89">
        <v>1.6</v>
      </c>
      <c r="AD74" s="88">
        <v>1.72</v>
      </c>
      <c r="AE74" s="89">
        <v>1.87</v>
      </c>
      <c r="AF74" s="88">
        <v>2.02</v>
      </c>
      <c r="AG74" s="89">
        <v>2.18</v>
      </c>
      <c r="AH74" s="88">
        <v>2.34</v>
      </c>
      <c r="AI74" s="89">
        <v>2.52</v>
      </c>
      <c r="AJ74" s="88">
        <v>2.72</v>
      </c>
      <c r="AK74" s="89">
        <v>2.93</v>
      </c>
      <c r="AL74" s="88">
        <v>3.14</v>
      </c>
      <c r="AM74" s="89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</row>
    <row r="75" spans="1:54" ht="12.75">
      <c r="A75" s="90" t="str">
        <f t="shared" si="4"/>
        <v>Ls 1f  [IDA] (35,5)</v>
      </c>
      <c r="B75" s="91" t="s">
        <v>197</v>
      </c>
      <c r="C75"/>
      <c r="D75" s="92" t="s">
        <v>77</v>
      </c>
      <c r="E75" s="97">
        <v>35.5</v>
      </c>
      <c r="F75" s="88" t="s">
        <v>79</v>
      </c>
      <c r="G75" s="89"/>
      <c r="H75" s="88"/>
      <c r="I75" s="89"/>
      <c r="J75" s="88"/>
      <c r="K75" s="89"/>
      <c r="L75" s="88"/>
      <c r="M75" s="89">
        <v>1.4734854175300458</v>
      </c>
      <c r="N75" s="93">
        <v>1.2845770306672193</v>
      </c>
      <c r="O75" s="89">
        <v>1.246795353294654</v>
      </c>
      <c r="P75" s="93">
        <v>1.246795353294654</v>
      </c>
      <c r="Q75" s="89">
        <v>1.3223587080397845</v>
      </c>
      <c r="R75" s="93">
        <v>1.36014038541235</v>
      </c>
      <c r="S75" s="89">
        <v>1.4357037401574804</v>
      </c>
      <c r="T75" s="93">
        <v>1.5490487722751762</v>
      </c>
      <c r="U75" s="89">
        <v>1.6246121270203069</v>
      </c>
      <c r="V75" s="93">
        <v>1.7001754817654373</v>
      </c>
      <c r="W75" s="89">
        <v>1.8890838686282638</v>
      </c>
      <c r="X75" s="93">
        <v>2.07799225549109</v>
      </c>
      <c r="Y75" s="89">
        <v>2.2669006423539164</v>
      </c>
      <c r="Z75" s="93">
        <v>2.4180273518441777</v>
      </c>
      <c r="AA75" s="89">
        <v>2.644717416079569</v>
      </c>
      <c r="AB75" s="93">
        <v>2.8336258029423953</v>
      </c>
      <c r="AC75" s="89">
        <v>3.0980975445503525</v>
      </c>
      <c r="AD75" s="93">
        <v>3.324787608785744</v>
      </c>
      <c r="AE75" s="89">
        <v>3.589259350393701</v>
      </c>
      <c r="AF75" s="93">
        <v>3.891512769374223</v>
      </c>
      <c r="AG75" s="89">
        <v>4.193766188354746</v>
      </c>
      <c r="AH75" s="93">
        <v>4.496019607335267</v>
      </c>
      <c r="AI75" s="89">
        <v>4.836054703688355</v>
      </c>
      <c r="AJ75" s="93">
        <v>5.251653154786573</v>
      </c>
      <c r="AK75" s="89">
        <v>5.629469928512226</v>
      </c>
      <c r="AL75" s="88"/>
      <c r="AM75" s="89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</row>
    <row r="76" spans="1:54" ht="12.75">
      <c r="A76" s="90" t="str">
        <f t="shared" si="4"/>
        <v>LS 3  [IDA] (35,5)</v>
      </c>
      <c r="B76" s="87" t="s">
        <v>198</v>
      </c>
      <c r="C76" s="88" t="s">
        <v>199</v>
      </c>
      <c r="D76" s="92" t="s">
        <v>77</v>
      </c>
      <c r="E76" s="88">
        <v>35.5</v>
      </c>
      <c r="F76" s="88" t="s">
        <v>74</v>
      </c>
      <c r="G76" s="89"/>
      <c r="H76" s="88"/>
      <c r="I76" s="89"/>
      <c r="J76" s="88"/>
      <c r="K76" s="89"/>
      <c r="L76" s="88"/>
      <c r="M76" s="89">
        <v>0.66</v>
      </c>
      <c r="N76" s="88">
        <v>0.64</v>
      </c>
      <c r="O76" s="89">
        <v>0.63</v>
      </c>
      <c r="P76" s="88">
        <v>0.63</v>
      </c>
      <c r="Q76" s="89">
        <v>0.64</v>
      </c>
      <c r="R76" s="88">
        <v>0.65</v>
      </c>
      <c r="S76" s="89">
        <v>0.68</v>
      </c>
      <c r="T76" s="88">
        <v>0.71</v>
      </c>
      <c r="U76" s="89">
        <v>0.76</v>
      </c>
      <c r="V76" s="88">
        <v>0.82</v>
      </c>
      <c r="W76" s="89">
        <v>0.88</v>
      </c>
      <c r="X76" s="88">
        <v>0.92</v>
      </c>
      <c r="Y76" s="89">
        <v>0.98</v>
      </c>
      <c r="Z76" s="88">
        <v>1.04</v>
      </c>
      <c r="AA76" s="89">
        <v>1.11</v>
      </c>
      <c r="AB76" s="88">
        <v>1.18</v>
      </c>
      <c r="AC76" s="89">
        <v>1.27</v>
      </c>
      <c r="AD76" s="88">
        <v>1.36</v>
      </c>
      <c r="AE76" s="89">
        <v>1.46</v>
      </c>
      <c r="AF76" s="88">
        <v>1.59</v>
      </c>
      <c r="AG76" s="89">
        <v>1.72</v>
      </c>
      <c r="AH76" s="88">
        <v>1.87</v>
      </c>
      <c r="AI76" s="89">
        <v>2.04</v>
      </c>
      <c r="AJ76" s="88">
        <v>2.22</v>
      </c>
      <c r="AK76" s="89"/>
      <c r="AL76" s="88"/>
      <c r="AM76" s="89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</row>
    <row r="77" spans="1:54" ht="12.75">
      <c r="A77" s="90" t="str">
        <f t="shared" si="4"/>
        <v>LS 4  [IDA] (34,4)</v>
      </c>
      <c r="B77" s="87" t="s">
        <v>200</v>
      </c>
      <c r="C77" s="88" t="s">
        <v>201</v>
      </c>
      <c r="D77" s="92" t="s">
        <v>77</v>
      </c>
      <c r="E77" s="88">
        <v>34.4</v>
      </c>
      <c r="F77" s="88" t="s">
        <v>74</v>
      </c>
      <c r="G77" s="89"/>
      <c r="H77" s="88"/>
      <c r="I77" s="89"/>
      <c r="J77" s="88"/>
      <c r="K77" s="89"/>
      <c r="L77" s="88"/>
      <c r="M77" s="89"/>
      <c r="N77" s="88">
        <v>0.74</v>
      </c>
      <c r="O77" s="89">
        <v>0.66</v>
      </c>
      <c r="P77" s="88">
        <v>0.64</v>
      </c>
      <c r="Q77" s="89">
        <v>0.64</v>
      </c>
      <c r="R77" s="88">
        <v>0.67</v>
      </c>
      <c r="S77" s="89">
        <v>0.69</v>
      </c>
      <c r="T77" s="88">
        <v>0.72</v>
      </c>
      <c r="U77" s="89">
        <v>0.77</v>
      </c>
      <c r="V77" s="88">
        <v>0.83</v>
      </c>
      <c r="W77" s="89">
        <v>0.9</v>
      </c>
      <c r="X77" s="88">
        <v>0.97</v>
      </c>
      <c r="Y77" s="89">
        <v>1.05</v>
      </c>
      <c r="Z77" s="88">
        <v>1.12</v>
      </c>
      <c r="AA77" s="89">
        <v>1.21</v>
      </c>
      <c r="AB77" s="88">
        <v>1.31</v>
      </c>
      <c r="AC77" s="89">
        <v>1.42</v>
      </c>
      <c r="AD77" s="88">
        <v>1.54</v>
      </c>
      <c r="AE77" s="89">
        <v>1.68</v>
      </c>
      <c r="AF77" s="88">
        <v>1.85</v>
      </c>
      <c r="AG77" s="89">
        <v>2.04</v>
      </c>
      <c r="AH77" s="88">
        <v>2.24</v>
      </c>
      <c r="AI77" s="89">
        <v>2.45</v>
      </c>
      <c r="AJ77" s="88">
        <v>2.64</v>
      </c>
      <c r="AK77" s="89">
        <v>2.85</v>
      </c>
      <c r="AL77" s="88">
        <v>3.13</v>
      </c>
      <c r="AM77" s="89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</row>
    <row r="78" spans="1:54" ht="12.75">
      <c r="A78" s="90" t="str">
        <f t="shared" si="4"/>
        <v>LS 4  [IDA] (39,8)</v>
      </c>
      <c r="B78" s="87" t="s">
        <v>200</v>
      </c>
      <c r="C78" s="88" t="s">
        <v>201</v>
      </c>
      <c r="D78" s="92" t="s">
        <v>77</v>
      </c>
      <c r="E78" s="88">
        <v>39.8</v>
      </c>
      <c r="F78" s="88" t="s">
        <v>74</v>
      </c>
      <c r="G78" s="89"/>
      <c r="H78" s="88"/>
      <c r="I78" s="89"/>
      <c r="J78" s="88"/>
      <c r="K78" s="89"/>
      <c r="L78" s="88"/>
      <c r="M78" s="89"/>
      <c r="N78" s="88"/>
      <c r="O78" s="89">
        <v>0.8</v>
      </c>
      <c r="P78" s="88">
        <v>0.71</v>
      </c>
      <c r="Q78" s="89">
        <v>0.69</v>
      </c>
      <c r="R78" s="88">
        <v>0.69</v>
      </c>
      <c r="S78" s="89">
        <v>0.69</v>
      </c>
      <c r="T78" s="88">
        <v>0.72</v>
      </c>
      <c r="U78" s="89">
        <v>0.75</v>
      </c>
      <c r="V78" s="88">
        <v>0.79</v>
      </c>
      <c r="W78" s="89">
        <v>0.86</v>
      </c>
      <c r="X78" s="88">
        <v>0.91</v>
      </c>
      <c r="Y78" s="89">
        <v>0.98</v>
      </c>
      <c r="Z78" s="88">
        <v>1.05</v>
      </c>
      <c r="AA78" s="89">
        <v>1.12</v>
      </c>
      <c r="AB78" s="88">
        <v>1.2</v>
      </c>
      <c r="AC78" s="89">
        <v>1.29</v>
      </c>
      <c r="AD78" s="88">
        <v>1.38</v>
      </c>
      <c r="AE78" s="89">
        <v>1.49</v>
      </c>
      <c r="AF78" s="88">
        <v>1.62</v>
      </c>
      <c r="AG78" s="89">
        <v>1.76</v>
      </c>
      <c r="AH78" s="88">
        <v>1.91</v>
      </c>
      <c r="AI78" s="89">
        <v>2.08</v>
      </c>
      <c r="AJ78" s="88">
        <v>2.27</v>
      </c>
      <c r="AK78" s="89">
        <v>2.48</v>
      </c>
      <c r="AL78" s="88">
        <v>2.69</v>
      </c>
      <c r="AM78" s="89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</row>
    <row r="79" spans="1:54" ht="12.75">
      <c r="A79" s="90" t="str">
        <f t="shared" si="4"/>
        <v>LS 4  [IDA] (32,2)</v>
      </c>
      <c r="B79" s="87" t="s">
        <v>200</v>
      </c>
      <c r="C79" s="88" t="s">
        <v>201</v>
      </c>
      <c r="D79" s="92" t="s">
        <v>77</v>
      </c>
      <c r="E79" s="88">
        <v>32.2</v>
      </c>
      <c r="F79" s="88" t="s">
        <v>74</v>
      </c>
      <c r="G79" s="89"/>
      <c r="H79" s="88"/>
      <c r="I79" s="89"/>
      <c r="J79" s="88"/>
      <c r="K79" s="89"/>
      <c r="L79" s="88"/>
      <c r="M79" s="89">
        <v>0.8</v>
      </c>
      <c r="N79" s="88">
        <v>0.65</v>
      </c>
      <c r="O79" s="89">
        <v>0.63</v>
      </c>
      <c r="P79" s="88">
        <v>0.62</v>
      </c>
      <c r="Q79" s="89">
        <v>0.64</v>
      </c>
      <c r="R79" s="88">
        <v>0.66</v>
      </c>
      <c r="S79" s="89">
        <v>0.69</v>
      </c>
      <c r="T79" s="88">
        <v>0.73</v>
      </c>
      <c r="U79" s="89">
        <v>0.79</v>
      </c>
      <c r="V79" s="88">
        <v>0.85</v>
      </c>
      <c r="W79" s="89">
        <v>0.92</v>
      </c>
      <c r="X79" s="88">
        <v>1</v>
      </c>
      <c r="Y79" s="89">
        <v>1.08</v>
      </c>
      <c r="Z79" s="88">
        <v>1.17</v>
      </c>
      <c r="AA79" s="89">
        <v>1.27</v>
      </c>
      <c r="AB79" s="88">
        <v>1.37</v>
      </c>
      <c r="AC79" s="89">
        <v>1.5</v>
      </c>
      <c r="AD79" s="88">
        <v>1.65</v>
      </c>
      <c r="AE79" s="89">
        <v>1.81</v>
      </c>
      <c r="AF79" s="88">
        <v>1.99</v>
      </c>
      <c r="AG79" s="89">
        <v>2.19</v>
      </c>
      <c r="AH79" s="88">
        <v>2.39</v>
      </c>
      <c r="AI79" s="89">
        <v>2.62</v>
      </c>
      <c r="AJ79" s="88"/>
      <c r="AK79" s="89"/>
      <c r="AL79" s="88"/>
      <c r="AM79" s="89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</row>
    <row r="80" spans="1:54" ht="12.75">
      <c r="A80" s="90" t="str">
        <f t="shared" si="4"/>
        <v>LS 4  [IDA] (33)</v>
      </c>
      <c r="B80" s="87" t="s">
        <v>200</v>
      </c>
      <c r="C80" s="88" t="s">
        <v>202</v>
      </c>
      <c r="D80" s="92" t="s">
        <v>77</v>
      </c>
      <c r="E80" s="88">
        <v>33</v>
      </c>
      <c r="F80" s="88" t="s">
        <v>74</v>
      </c>
      <c r="G80" s="89"/>
      <c r="H80" s="88"/>
      <c r="I80" s="89"/>
      <c r="J80" s="88"/>
      <c r="K80" s="89"/>
      <c r="L80" s="88"/>
      <c r="M80" s="89">
        <v>0.75</v>
      </c>
      <c r="N80" s="88">
        <v>0.66</v>
      </c>
      <c r="O80" s="89">
        <v>0.63</v>
      </c>
      <c r="P80" s="88">
        <v>0.63</v>
      </c>
      <c r="Q80" s="89">
        <v>0.64</v>
      </c>
      <c r="R80" s="88">
        <v>0.66</v>
      </c>
      <c r="S80" s="89">
        <v>0.68</v>
      </c>
      <c r="T80" s="88">
        <v>0.72</v>
      </c>
      <c r="U80" s="89">
        <v>0.77</v>
      </c>
      <c r="V80" s="88">
        <v>0.82</v>
      </c>
      <c r="W80" s="89">
        <v>0.88</v>
      </c>
      <c r="X80" s="88">
        <v>0.96</v>
      </c>
      <c r="Y80" s="89">
        <v>1.05</v>
      </c>
      <c r="Z80" s="88">
        <v>1.15</v>
      </c>
      <c r="AA80" s="89">
        <v>1.26</v>
      </c>
      <c r="AB80" s="88">
        <v>1.38</v>
      </c>
      <c r="AC80" s="89">
        <v>1.52</v>
      </c>
      <c r="AD80" s="88">
        <v>1.65</v>
      </c>
      <c r="AE80" s="89">
        <v>1.79</v>
      </c>
      <c r="AF80" s="88">
        <v>1.93</v>
      </c>
      <c r="AG80" s="89">
        <v>2.08</v>
      </c>
      <c r="AH80" s="88">
        <v>2.24</v>
      </c>
      <c r="AI80" s="89">
        <v>2.39</v>
      </c>
      <c r="AJ80" s="88">
        <v>2.56</v>
      </c>
      <c r="AK80" s="89">
        <v>2.72</v>
      </c>
      <c r="AL80" s="88">
        <v>2.9</v>
      </c>
      <c r="AM80" s="89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</row>
    <row r="81" spans="1:54" ht="12.75">
      <c r="A81" s="90" t="str">
        <f t="shared" si="4"/>
        <v>LS3/17  [IDA] (33)</v>
      </c>
      <c r="B81" s="87" t="s">
        <v>203</v>
      </c>
      <c r="C81" s="88" t="s">
        <v>204</v>
      </c>
      <c r="D81" s="92" t="s">
        <v>77</v>
      </c>
      <c r="E81" s="88">
        <v>33</v>
      </c>
      <c r="F81" s="88" t="s">
        <v>74</v>
      </c>
      <c r="G81" s="89"/>
      <c r="H81" s="88"/>
      <c r="I81" s="89"/>
      <c r="J81" s="88"/>
      <c r="K81" s="89"/>
      <c r="L81" s="88"/>
      <c r="M81" s="89">
        <v>0.56</v>
      </c>
      <c r="N81" s="88">
        <v>0.56</v>
      </c>
      <c r="O81" s="89">
        <v>0.56</v>
      </c>
      <c r="P81" s="88">
        <v>0.56</v>
      </c>
      <c r="Q81" s="89">
        <v>0.58</v>
      </c>
      <c r="R81" s="88">
        <v>0.6</v>
      </c>
      <c r="S81" s="89">
        <v>0.63</v>
      </c>
      <c r="T81" s="88">
        <v>0.67</v>
      </c>
      <c r="U81" s="89">
        <v>0.73</v>
      </c>
      <c r="V81" s="88">
        <v>0.79</v>
      </c>
      <c r="W81" s="89">
        <v>0.87</v>
      </c>
      <c r="X81" s="88">
        <v>0.94</v>
      </c>
      <c r="Y81" s="89">
        <v>1.05</v>
      </c>
      <c r="Z81" s="88">
        <v>1.17</v>
      </c>
      <c r="AA81" s="89">
        <v>1.29</v>
      </c>
      <c r="AB81" s="88">
        <v>1.43</v>
      </c>
      <c r="AC81" s="89">
        <v>1.57</v>
      </c>
      <c r="AD81" s="88">
        <v>1.71</v>
      </c>
      <c r="AE81" s="89">
        <v>1.87</v>
      </c>
      <c r="AF81" s="88">
        <v>2.05</v>
      </c>
      <c r="AG81" s="89">
        <v>2.24</v>
      </c>
      <c r="AH81" s="88">
        <v>2.44</v>
      </c>
      <c r="AI81" s="89">
        <v>2.64</v>
      </c>
      <c r="AJ81" s="88">
        <v>2.85</v>
      </c>
      <c r="AK81" s="89">
        <v>3.08</v>
      </c>
      <c r="AL81" s="88"/>
      <c r="AM81" s="89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</row>
    <row r="82" spans="1:54" ht="12.75">
      <c r="A82" s="90" t="str">
        <f t="shared" si="4"/>
        <v>L-Spatz 55  [IDA] (21,34)</v>
      </c>
      <c r="B82" s="87" t="s">
        <v>205</v>
      </c>
      <c r="C82" s="88"/>
      <c r="D82" s="92" t="s">
        <v>77</v>
      </c>
      <c r="E82" s="88">
        <v>21.34</v>
      </c>
      <c r="F82" s="88" t="s">
        <v>74</v>
      </c>
      <c r="G82" s="89"/>
      <c r="H82" s="88"/>
      <c r="I82" s="89"/>
      <c r="J82" s="88"/>
      <c r="K82" s="89"/>
      <c r="L82" s="88">
        <v>0.81</v>
      </c>
      <c r="M82" s="89">
        <v>0.8</v>
      </c>
      <c r="N82" s="88">
        <v>0.84</v>
      </c>
      <c r="O82" s="89">
        <v>0.9</v>
      </c>
      <c r="P82" s="88">
        <v>0.99</v>
      </c>
      <c r="Q82" s="89">
        <v>1.08</v>
      </c>
      <c r="R82" s="88">
        <v>1.18</v>
      </c>
      <c r="S82" s="89">
        <v>1.31</v>
      </c>
      <c r="T82" s="88">
        <v>1.42</v>
      </c>
      <c r="U82" s="89"/>
      <c r="V82" s="88"/>
      <c r="W82" s="89"/>
      <c r="X82" s="88"/>
      <c r="Y82" s="94"/>
      <c r="AA82" s="94"/>
      <c r="AB82" s="88"/>
      <c r="AC82" s="89"/>
      <c r="AD82" s="88"/>
      <c r="AE82" s="89"/>
      <c r="AF82" s="88"/>
      <c r="AG82" s="89"/>
      <c r="AH82" s="88"/>
      <c r="AI82" s="89"/>
      <c r="AJ82" s="88"/>
      <c r="AK82" s="89"/>
      <c r="AL82" s="88"/>
      <c r="AM82" s="89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</row>
    <row r="83" spans="1:54" ht="12.75">
      <c r="A83" s="90" t="str">
        <f t="shared" si="4"/>
        <v>M-100S  [IDA] (21,93)</v>
      </c>
      <c r="B83" s="87" t="s">
        <v>206</v>
      </c>
      <c r="C83" s="88"/>
      <c r="D83" s="92" t="s">
        <v>77</v>
      </c>
      <c r="E83" s="88">
        <v>21.93</v>
      </c>
      <c r="F83" s="88" t="s">
        <v>74</v>
      </c>
      <c r="G83" s="89"/>
      <c r="H83" s="88"/>
      <c r="I83" s="89"/>
      <c r="J83" s="88"/>
      <c r="K83" s="89"/>
      <c r="L83" s="88">
        <v>0.83</v>
      </c>
      <c r="M83" s="89">
        <v>0.76</v>
      </c>
      <c r="N83" s="88">
        <v>0.77</v>
      </c>
      <c r="O83" s="89">
        <v>0.84</v>
      </c>
      <c r="P83" s="88">
        <v>0.92</v>
      </c>
      <c r="Q83" s="89">
        <v>1</v>
      </c>
      <c r="R83" s="88">
        <v>1.13</v>
      </c>
      <c r="S83" s="89">
        <v>1.25</v>
      </c>
      <c r="T83" s="88">
        <v>1.4</v>
      </c>
      <c r="U83" s="89">
        <v>1.56</v>
      </c>
      <c r="V83" s="88">
        <v>1.74</v>
      </c>
      <c r="W83" s="89">
        <v>1.93</v>
      </c>
      <c r="X83" s="88">
        <v>2.15</v>
      </c>
      <c r="Y83" s="89"/>
      <c r="Z83" s="88"/>
      <c r="AA83" s="89"/>
      <c r="AB83" s="88"/>
      <c r="AC83" s="89"/>
      <c r="AD83" s="88"/>
      <c r="AE83" s="89"/>
      <c r="AF83" s="88"/>
      <c r="AG83" s="89"/>
      <c r="AH83" s="88"/>
      <c r="AI83" s="89"/>
      <c r="AJ83" s="88"/>
      <c r="AK83" s="89"/>
      <c r="AL83" s="88"/>
      <c r="AM83" s="89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</row>
    <row r="84" spans="1:54" ht="12.75">
      <c r="A84" s="90" t="str">
        <f t="shared" si="4"/>
        <v>Mini Nimbus  [IDA] (34,2)</v>
      </c>
      <c r="B84" s="87" t="s">
        <v>207</v>
      </c>
      <c r="C84" s="88" t="s">
        <v>208</v>
      </c>
      <c r="D84" s="92" t="s">
        <v>77</v>
      </c>
      <c r="E84" s="88">
        <v>34.2</v>
      </c>
      <c r="F84" s="88" t="s">
        <v>74</v>
      </c>
      <c r="G84" s="89"/>
      <c r="H84" s="88"/>
      <c r="I84" s="89"/>
      <c r="J84" s="88"/>
      <c r="K84" s="89"/>
      <c r="L84" s="88"/>
      <c r="M84" s="89"/>
      <c r="N84" s="88">
        <v>0.65</v>
      </c>
      <c r="O84" s="89">
        <v>0.63</v>
      </c>
      <c r="P84" s="88">
        <v>0.63</v>
      </c>
      <c r="Q84" s="89">
        <v>0.64</v>
      </c>
      <c r="R84" s="88">
        <v>0.66</v>
      </c>
      <c r="S84" s="89">
        <v>0.69</v>
      </c>
      <c r="T84" s="88">
        <v>0.71</v>
      </c>
      <c r="U84" s="89">
        <v>0.76</v>
      </c>
      <c r="V84" s="88">
        <v>0.81</v>
      </c>
      <c r="W84" s="89">
        <v>0.88</v>
      </c>
      <c r="X84" s="88">
        <v>0.96</v>
      </c>
      <c r="Y84" s="89">
        <v>1.05</v>
      </c>
      <c r="Z84" s="88">
        <v>1.14</v>
      </c>
      <c r="AA84" s="89">
        <v>1.25</v>
      </c>
      <c r="AB84" s="88">
        <v>1.35</v>
      </c>
      <c r="AC84" s="89">
        <v>1.46</v>
      </c>
      <c r="AD84" s="88">
        <v>1.57</v>
      </c>
      <c r="AE84" s="89">
        <v>1.71</v>
      </c>
      <c r="AF84" s="88">
        <v>1.86</v>
      </c>
      <c r="AG84" s="89">
        <v>2</v>
      </c>
      <c r="AH84" s="88">
        <v>2.13</v>
      </c>
      <c r="AI84" s="89">
        <v>2.29</v>
      </c>
      <c r="AJ84" s="88">
        <v>2.44</v>
      </c>
      <c r="AK84" s="89">
        <v>2.62</v>
      </c>
      <c r="AL84" s="88">
        <v>2.82</v>
      </c>
      <c r="AM84" s="89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</row>
    <row r="85" spans="1:54" ht="12.75">
      <c r="A85" s="90" t="str">
        <f t="shared" si="4"/>
        <v>Mistrel C  [IDA] (31,36)</v>
      </c>
      <c r="B85" s="87" t="s">
        <v>209</v>
      </c>
      <c r="C85" s="88" t="s">
        <v>210</v>
      </c>
      <c r="D85" s="92" t="s">
        <v>77</v>
      </c>
      <c r="E85" s="88">
        <v>31.36</v>
      </c>
      <c r="F85" s="88" t="s">
        <v>74</v>
      </c>
      <c r="G85" s="89"/>
      <c r="H85" s="88"/>
      <c r="I85" s="89"/>
      <c r="J85" s="88"/>
      <c r="K85" s="89"/>
      <c r="L85" s="88"/>
      <c r="M85" s="89"/>
      <c r="N85" s="88">
        <v>0.7</v>
      </c>
      <c r="O85" s="89">
        <v>0.67</v>
      </c>
      <c r="P85" s="88">
        <v>0.68</v>
      </c>
      <c r="Q85" s="89">
        <v>0.68</v>
      </c>
      <c r="R85" s="88">
        <v>0.71</v>
      </c>
      <c r="S85" s="89">
        <v>0.75</v>
      </c>
      <c r="T85" s="88">
        <v>0.8</v>
      </c>
      <c r="U85" s="89">
        <v>0.87</v>
      </c>
      <c r="V85" s="88">
        <v>0.95</v>
      </c>
      <c r="W85" s="89">
        <v>1.04</v>
      </c>
      <c r="X85" s="88">
        <v>1.15</v>
      </c>
      <c r="Y85" s="89">
        <v>1.25</v>
      </c>
      <c r="Z85" s="88">
        <v>1.36</v>
      </c>
      <c r="AA85" s="89">
        <v>1.48</v>
      </c>
      <c r="AB85" s="88">
        <v>1.6</v>
      </c>
      <c r="AC85" s="89">
        <v>1.74</v>
      </c>
      <c r="AD85" s="88">
        <v>1.88</v>
      </c>
      <c r="AE85" s="89">
        <v>2.04</v>
      </c>
      <c r="AF85" s="88">
        <v>2.02</v>
      </c>
      <c r="AG85" s="89">
        <v>2.4</v>
      </c>
      <c r="AH85" s="88">
        <v>2.64</v>
      </c>
      <c r="AI85" s="89">
        <v>2.88</v>
      </c>
      <c r="AJ85" s="88">
        <v>3.15</v>
      </c>
      <c r="AK85" s="89">
        <v>3.47</v>
      </c>
      <c r="AL85" s="88"/>
      <c r="AM85" s="89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</row>
    <row r="86" spans="1:54" ht="12.75">
      <c r="A86" s="90" t="str">
        <f t="shared" si="4"/>
        <v>Mosquito H-303  [IDA] (36,2)</v>
      </c>
      <c r="B86" s="87" t="s">
        <v>211</v>
      </c>
      <c r="C86" s="88" t="s">
        <v>212</v>
      </c>
      <c r="D86" s="92" t="s">
        <v>77</v>
      </c>
      <c r="E86" s="88">
        <v>36.2</v>
      </c>
      <c r="F86" s="88" t="s">
        <v>74</v>
      </c>
      <c r="G86" s="89"/>
      <c r="H86" s="88"/>
      <c r="I86" s="89"/>
      <c r="J86" s="88"/>
      <c r="K86" s="89"/>
      <c r="L86" s="88"/>
      <c r="M86" s="89">
        <v>0.69</v>
      </c>
      <c r="N86" s="88">
        <v>0.65</v>
      </c>
      <c r="O86" s="89">
        <v>0.63</v>
      </c>
      <c r="P86" s="88">
        <v>0.63</v>
      </c>
      <c r="Q86" s="89">
        <v>0.63</v>
      </c>
      <c r="R86" s="88">
        <v>0.64</v>
      </c>
      <c r="S86" s="89">
        <v>0.67</v>
      </c>
      <c r="T86" s="88">
        <v>0.71</v>
      </c>
      <c r="U86" s="89">
        <v>0.75</v>
      </c>
      <c r="V86" s="88">
        <v>0.8</v>
      </c>
      <c r="W86" s="89">
        <v>0.85</v>
      </c>
      <c r="X86" s="88">
        <v>0.92</v>
      </c>
      <c r="Y86" s="89">
        <v>0.99</v>
      </c>
      <c r="Z86" s="88">
        <v>1.07</v>
      </c>
      <c r="AA86" s="89">
        <v>1.15</v>
      </c>
      <c r="AB86" s="88">
        <v>1.24</v>
      </c>
      <c r="AC86" s="89">
        <v>1.34</v>
      </c>
      <c r="AD86" s="88">
        <v>1.45</v>
      </c>
      <c r="AE86" s="89">
        <v>1.57</v>
      </c>
      <c r="AF86" s="88">
        <v>1.7</v>
      </c>
      <c r="AG86" s="89">
        <v>1.84</v>
      </c>
      <c r="AH86" s="88">
        <v>1.99</v>
      </c>
      <c r="AI86" s="89">
        <v>2.16</v>
      </c>
      <c r="AJ86" s="88">
        <v>2.33</v>
      </c>
      <c r="AK86" s="89"/>
      <c r="AL86" s="88"/>
      <c r="AM86" s="89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</row>
    <row r="87" spans="1:54" ht="12.75">
      <c r="A87" s="90" t="str">
        <f aca="true" t="shared" si="5" ref="A87:A103">B87&amp;"  ["&amp;D87&amp;"] ("&amp;E87&amp;")"</f>
        <v>Mosquito H-303B  [IDA] (34)</v>
      </c>
      <c r="B87" s="87" t="s">
        <v>213</v>
      </c>
      <c r="C87" s="88" t="s">
        <v>214</v>
      </c>
      <c r="D87" s="92" t="s">
        <v>77</v>
      </c>
      <c r="E87" s="88">
        <v>34</v>
      </c>
      <c r="F87" s="88" t="s">
        <v>74</v>
      </c>
      <c r="G87" s="89"/>
      <c r="H87" s="88"/>
      <c r="I87" s="89"/>
      <c r="J87" s="88"/>
      <c r="K87" s="89"/>
      <c r="L87" s="88"/>
      <c r="M87" s="89">
        <v>0.65</v>
      </c>
      <c r="N87" s="88">
        <v>0.65</v>
      </c>
      <c r="O87" s="89">
        <v>0.62</v>
      </c>
      <c r="P87" s="88">
        <v>0.61</v>
      </c>
      <c r="Q87" s="89">
        <v>0.63</v>
      </c>
      <c r="R87" s="88">
        <v>0.65</v>
      </c>
      <c r="S87" s="89">
        <v>0.68</v>
      </c>
      <c r="T87" s="88">
        <v>0.71</v>
      </c>
      <c r="U87" s="89">
        <v>0.76</v>
      </c>
      <c r="V87" s="88">
        <v>0.81</v>
      </c>
      <c r="W87" s="89">
        <v>0.87</v>
      </c>
      <c r="X87" s="88">
        <v>0.93</v>
      </c>
      <c r="Y87" s="89">
        <v>1</v>
      </c>
      <c r="Z87" s="88">
        <v>1.08</v>
      </c>
      <c r="AA87" s="89">
        <v>1.17</v>
      </c>
      <c r="AB87" s="88">
        <v>1.28</v>
      </c>
      <c r="AC87" s="89">
        <v>1.4</v>
      </c>
      <c r="AD87" s="88">
        <v>1.53</v>
      </c>
      <c r="AE87" s="89">
        <v>1.65</v>
      </c>
      <c r="AF87" s="88">
        <v>1.77</v>
      </c>
      <c r="AG87" s="89">
        <v>1.91</v>
      </c>
      <c r="AH87" s="88">
        <v>2.04</v>
      </c>
      <c r="AI87" s="89">
        <v>2.19</v>
      </c>
      <c r="AJ87" s="88">
        <v>2.33</v>
      </c>
      <c r="AK87" s="89">
        <v>2.51</v>
      </c>
      <c r="AL87" s="88"/>
      <c r="AM87" s="89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</row>
    <row r="88" spans="1:54" ht="12.75">
      <c r="A88" s="90" t="str">
        <f t="shared" si="5"/>
        <v>Nimbus 2  [IDA] (30)</v>
      </c>
      <c r="B88" s="87" t="s">
        <v>215</v>
      </c>
      <c r="C88" s="88" t="s">
        <v>216</v>
      </c>
      <c r="D88" s="92" t="s">
        <v>77</v>
      </c>
      <c r="E88" s="88">
        <v>30</v>
      </c>
      <c r="F88" s="88" t="s">
        <v>74</v>
      </c>
      <c r="G88" s="89"/>
      <c r="H88" s="88"/>
      <c r="I88" s="89"/>
      <c r="J88" s="88"/>
      <c r="K88" s="89"/>
      <c r="L88" s="88"/>
      <c r="M88" s="89"/>
      <c r="N88" s="88"/>
      <c r="O88" s="89">
        <v>0.52</v>
      </c>
      <c r="P88" s="88">
        <v>0.53</v>
      </c>
      <c r="Q88" s="89">
        <v>0.54</v>
      </c>
      <c r="R88" s="88">
        <v>0.57</v>
      </c>
      <c r="S88" s="89">
        <v>0.6</v>
      </c>
      <c r="T88" s="88">
        <v>0.66</v>
      </c>
      <c r="U88" s="89">
        <v>0.72</v>
      </c>
      <c r="V88" s="88">
        <v>0.78</v>
      </c>
      <c r="W88" s="89">
        <v>0.86</v>
      </c>
      <c r="X88" s="88">
        <v>0.93</v>
      </c>
      <c r="Y88" s="89">
        <v>1.03</v>
      </c>
      <c r="Z88" s="88">
        <v>1.11</v>
      </c>
      <c r="AA88" s="89">
        <v>1.18</v>
      </c>
      <c r="AB88" s="88">
        <v>1.24</v>
      </c>
      <c r="AC88" s="89">
        <v>1.28</v>
      </c>
      <c r="AD88" s="88"/>
      <c r="AE88" s="89"/>
      <c r="AF88" s="88"/>
      <c r="AG88" s="89"/>
      <c r="AH88" s="88"/>
      <c r="AI88" s="89"/>
      <c r="AJ88" s="88"/>
      <c r="AK88" s="89"/>
      <c r="AL88" s="88"/>
      <c r="AM88" s="89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</row>
    <row r="89" spans="1:54" ht="12.75">
      <c r="A89" s="90" t="str">
        <f t="shared" si="5"/>
        <v>Nimbus 2  [IDA] (30)</v>
      </c>
      <c r="B89" s="87" t="s">
        <v>215</v>
      </c>
      <c r="C89" s="88" t="s">
        <v>217</v>
      </c>
      <c r="D89" s="92" t="s">
        <v>77</v>
      </c>
      <c r="E89" s="88">
        <v>30</v>
      </c>
      <c r="F89" s="88" t="s">
        <v>74</v>
      </c>
      <c r="G89" s="89"/>
      <c r="H89" s="88"/>
      <c r="I89" s="89"/>
      <c r="J89" s="88"/>
      <c r="K89" s="89"/>
      <c r="L89" s="88"/>
      <c r="M89" s="89">
        <v>0.55</v>
      </c>
      <c r="N89" s="88">
        <v>0.5</v>
      </c>
      <c r="O89" s="89">
        <v>0.5</v>
      </c>
      <c r="P89" s="88">
        <v>0.5</v>
      </c>
      <c r="Q89" s="89">
        <v>0.53</v>
      </c>
      <c r="R89" s="88">
        <v>0.55</v>
      </c>
      <c r="S89" s="89">
        <v>0.59</v>
      </c>
      <c r="T89" s="88">
        <v>0.62</v>
      </c>
      <c r="U89" s="89">
        <v>0.67</v>
      </c>
      <c r="V89" s="88">
        <v>0.75</v>
      </c>
      <c r="W89" s="89">
        <v>0.82</v>
      </c>
      <c r="X89" s="88">
        <v>0.88</v>
      </c>
      <c r="Y89" s="89">
        <v>0.97</v>
      </c>
      <c r="Z89" s="88">
        <v>1.05</v>
      </c>
      <c r="AA89" s="89">
        <v>1.14</v>
      </c>
      <c r="AB89" s="88">
        <v>1.23</v>
      </c>
      <c r="AC89" s="89">
        <v>1.32</v>
      </c>
      <c r="AD89" s="88">
        <v>1.43</v>
      </c>
      <c r="AE89" s="89">
        <v>1.57</v>
      </c>
      <c r="AF89" s="88">
        <v>1.7</v>
      </c>
      <c r="AG89" s="89">
        <v>1.84</v>
      </c>
      <c r="AH89" s="88">
        <v>2</v>
      </c>
      <c r="AI89" s="89">
        <v>2.17</v>
      </c>
      <c r="AJ89" s="88">
        <v>2.39</v>
      </c>
      <c r="AK89" s="89">
        <v>2.84</v>
      </c>
      <c r="AL89" s="88"/>
      <c r="AM89" s="89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</row>
    <row r="90" spans="1:54" ht="12.75">
      <c r="A90" s="90" t="str">
        <f t="shared" si="5"/>
        <v>Nimbus 3  [IDA] (29,5)</v>
      </c>
      <c r="B90" s="87" t="s">
        <v>218</v>
      </c>
      <c r="C90" s="88" t="s">
        <v>219</v>
      </c>
      <c r="D90" s="92" t="s">
        <v>77</v>
      </c>
      <c r="E90" s="88">
        <v>29.5</v>
      </c>
      <c r="F90" s="88" t="s">
        <v>74</v>
      </c>
      <c r="G90" s="89"/>
      <c r="H90" s="88"/>
      <c r="I90" s="89"/>
      <c r="J90" s="88"/>
      <c r="K90" s="89"/>
      <c r="L90" s="88"/>
      <c r="M90" s="89"/>
      <c r="N90" s="88">
        <v>0.48</v>
      </c>
      <c r="O90" s="89">
        <v>0.46</v>
      </c>
      <c r="P90" s="88">
        <v>0.46</v>
      </c>
      <c r="Q90" s="89">
        <v>0.49</v>
      </c>
      <c r="R90" s="88">
        <v>0.52</v>
      </c>
      <c r="S90" s="89">
        <v>0.56</v>
      </c>
      <c r="T90" s="88">
        <v>0.61</v>
      </c>
      <c r="U90" s="89">
        <v>0.68</v>
      </c>
      <c r="V90" s="88">
        <v>0.74</v>
      </c>
      <c r="W90" s="89">
        <v>0.8</v>
      </c>
      <c r="X90" s="88">
        <v>0.88</v>
      </c>
      <c r="Y90" s="89">
        <v>0.95</v>
      </c>
      <c r="Z90" s="88">
        <v>1.03</v>
      </c>
      <c r="AA90" s="89">
        <v>1.11</v>
      </c>
      <c r="AB90" s="88">
        <v>1.2</v>
      </c>
      <c r="AC90" s="89">
        <v>1.29</v>
      </c>
      <c r="AD90" s="88">
        <v>1.38</v>
      </c>
      <c r="AE90" s="89">
        <v>1.49</v>
      </c>
      <c r="AF90" s="88">
        <v>1.6</v>
      </c>
      <c r="AG90" s="89">
        <v>1.71</v>
      </c>
      <c r="AH90" s="88">
        <v>1.85</v>
      </c>
      <c r="AI90" s="89">
        <v>1.96</v>
      </c>
      <c r="AJ90" s="88">
        <v>2.09</v>
      </c>
      <c r="AK90" s="89">
        <v>2.23</v>
      </c>
      <c r="AL90" s="88">
        <v>2.34</v>
      </c>
      <c r="AM90" s="89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1:54" ht="12.75">
      <c r="A91" s="90" t="str">
        <f t="shared" si="5"/>
        <v>Nimbus 3/24.5  [IDA] (28,9)</v>
      </c>
      <c r="B91" s="87" t="s">
        <v>220</v>
      </c>
      <c r="C91" s="88" t="s">
        <v>219</v>
      </c>
      <c r="D91" s="92" t="s">
        <v>77</v>
      </c>
      <c r="E91" s="88">
        <v>28.9</v>
      </c>
      <c r="F91" s="88" t="s">
        <v>74</v>
      </c>
      <c r="G91" s="89"/>
      <c r="H91" s="88"/>
      <c r="I91" s="89"/>
      <c r="J91" s="88"/>
      <c r="K91" s="89"/>
      <c r="L91" s="88"/>
      <c r="M91" s="89">
        <v>0.43</v>
      </c>
      <c r="N91" s="88">
        <v>0.38</v>
      </c>
      <c r="O91" s="89">
        <v>0.39</v>
      </c>
      <c r="P91" s="88">
        <v>0.42</v>
      </c>
      <c r="Q91" s="89">
        <v>0.46</v>
      </c>
      <c r="R91" s="88">
        <v>0.5</v>
      </c>
      <c r="S91" s="89">
        <v>0.55</v>
      </c>
      <c r="T91" s="88">
        <v>0.6</v>
      </c>
      <c r="U91" s="89">
        <v>0.6</v>
      </c>
      <c r="V91" s="88">
        <v>0.72</v>
      </c>
      <c r="W91" s="89">
        <v>0.78</v>
      </c>
      <c r="X91" s="88">
        <v>0.86</v>
      </c>
      <c r="Y91" s="89">
        <v>0.93</v>
      </c>
      <c r="Z91" s="88">
        <v>1.01</v>
      </c>
      <c r="AA91" s="89">
        <v>1.1</v>
      </c>
      <c r="AB91" s="88">
        <v>1.2</v>
      </c>
      <c r="AC91" s="89">
        <v>1.31</v>
      </c>
      <c r="AD91" s="88">
        <v>1.43</v>
      </c>
      <c r="AE91" s="89">
        <v>1.53</v>
      </c>
      <c r="AF91" s="88">
        <v>1.65</v>
      </c>
      <c r="AG91" s="89">
        <v>1.76</v>
      </c>
      <c r="AH91" s="88">
        <v>1.87</v>
      </c>
      <c r="AI91" s="89">
        <v>2.06</v>
      </c>
      <c r="AJ91" s="88">
        <v>2.16</v>
      </c>
      <c r="AK91" s="89">
        <v>2.31</v>
      </c>
      <c r="AL91" s="88">
        <v>2.5</v>
      </c>
      <c r="AM91" s="89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</row>
    <row r="92" spans="1:54" ht="12.75">
      <c r="A92" s="90" t="str">
        <f t="shared" si="5"/>
        <v>Nimbus 3/24.5  [IDA] (29,5)</v>
      </c>
      <c r="B92" s="87" t="s">
        <v>220</v>
      </c>
      <c r="C92" s="88" t="s">
        <v>221</v>
      </c>
      <c r="D92" s="92" t="s">
        <v>77</v>
      </c>
      <c r="E92" s="88">
        <v>29.5</v>
      </c>
      <c r="F92" s="88" t="s">
        <v>74</v>
      </c>
      <c r="G92" s="89"/>
      <c r="H92" s="88"/>
      <c r="I92" s="89"/>
      <c r="J92" s="88"/>
      <c r="K92" s="89"/>
      <c r="L92" s="88"/>
      <c r="M92" s="89"/>
      <c r="N92" s="88">
        <v>0.44</v>
      </c>
      <c r="O92" s="89">
        <v>0.43</v>
      </c>
      <c r="P92" s="88">
        <v>0.41</v>
      </c>
      <c r="Q92" s="89">
        <v>0.44</v>
      </c>
      <c r="R92" s="88">
        <v>0.46</v>
      </c>
      <c r="S92" s="89">
        <v>0.52</v>
      </c>
      <c r="T92" s="88">
        <v>0.57</v>
      </c>
      <c r="U92" s="89">
        <v>0.63</v>
      </c>
      <c r="V92" s="88">
        <v>0.69</v>
      </c>
      <c r="W92" s="89">
        <v>0.75</v>
      </c>
      <c r="X92" s="88">
        <v>0.82</v>
      </c>
      <c r="Y92" s="89">
        <v>0.9</v>
      </c>
      <c r="Z92" s="88">
        <v>1</v>
      </c>
      <c r="AA92" s="89">
        <v>1.08</v>
      </c>
      <c r="AB92" s="88">
        <v>1.17</v>
      </c>
      <c r="AC92" s="89">
        <v>1.26</v>
      </c>
      <c r="AD92" s="88">
        <v>1.36</v>
      </c>
      <c r="AE92" s="89">
        <v>1.46</v>
      </c>
      <c r="AF92" s="88">
        <v>1.58</v>
      </c>
      <c r="AG92" s="89">
        <v>1.69</v>
      </c>
      <c r="AH92" s="88">
        <v>1.8</v>
      </c>
      <c r="AI92" s="89">
        <v>1.92</v>
      </c>
      <c r="AJ92" s="88">
        <v>2.04</v>
      </c>
      <c r="AK92" s="89">
        <v>2.17</v>
      </c>
      <c r="AL92" s="88">
        <v>2.3</v>
      </c>
      <c r="AM92" s="89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</row>
    <row r="93" spans="1:54" ht="12.75">
      <c r="A93" s="90" t="str">
        <f t="shared" si="5"/>
        <v>Pegase 101A  [IDA] (32,8)</v>
      </c>
      <c r="B93" s="87" t="s">
        <v>222</v>
      </c>
      <c r="C93" s="88" t="s">
        <v>223</v>
      </c>
      <c r="D93" s="92" t="s">
        <v>77</v>
      </c>
      <c r="E93" s="88">
        <v>32.8</v>
      </c>
      <c r="F93" s="88" t="s">
        <v>74</v>
      </c>
      <c r="G93" s="89"/>
      <c r="H93" s="88"/>
      <c r="I93" s="89"/>
      <c r="J93" s="88"/>
      <c r="K93" s="89"/>
      <c r="L93" s="88"/>
      <c r="M93" s="89">
        <v>0.82</v>
      </c>
      <c r="N93" s="88">
        <v>0.66</v>
      </c>
      <c r="O93" s="89">
        <v>0.63</v>
      </c>
      <c r="P93" s="88">
        <v>0.62</v>
      </c>
      <c r="Q93" s="89">
        <v>0.63</v>
      </c>
      <c r="R93" s="88">
        <v>0.66</v>
      </c>
      <c r="S93" s="89">
        <v>0.7</v>
      </c>
      <c r="T93" s="88">
        <v>0.75</v>
      </c>
      <c r="U93" s="89">
        <v>0.81</v>
      </c>
      <c r="V93" s="88">
        <v>0.89</v>
      </c>
      <c r="W93" s="89">
        <v>0.99</v>
      </c>
      <c r="X93" s="88">
        <v>1.08</v>
      </c>
      <c r="Y93" s="89">
        <v>1.2</v>
      </c>
      <c r="Z93" s="88">
        <v>1.32</v>
      </c>
      <c r="AA93" s="89">
        <v>1.47</v>
      </c>
      <c r="AB93" s="88">
        <v>1.61</v>
      </c>
      <c r="AC93" s="89">
        <v>1.76</v>
      </c>
      <c r="AD93" s="88">
        <v>1.92</v>
      </c>
      <c r="AE93" s="89">
        <v>2.07</v>
      </c>
      <c r="AF93" s="88">
        <v>2.22</v>
      </c>
      <c r="AG93" s="89">
        <v>2.37</v>
      </c>
      <c r="AH93" s="88">
        <v>2.54</v>
      </c>
      <c r="AI93" s="89">
        <v>2.7</v>
      </c>
      <c r="AJ93" s="88">
        <v>2.89</v>
      </c>
      <c r="AK93" s="89">
        <v>3.08</v>
      </c>
      <c r="AL93" s="88">
        <v>3.3</v>
      </c>
      <c r="AM93" s="89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</row>
    <row r="94" spans="1:54" ht="12.75">
      <c r="A94" s="90" t="str">
        <f t="shared" si="5"/>
        <v>Phoebus A  [IDA] (24,59)</v>
      </c>
      <c r="B94" s="87" t="s">
        <v>224</v>
      </c>
      <c r="C94" s="88"/>
      <c r="D94" s="92" t="s">
        <v>77</v>
      </c>
      <c r="E94" s="88">
        <v>24.59</v>
      </c>
      <c r="F94" s="88" t="s">
        <v>74</v>
      </c>
      <c r="G94" s="89"/>
      <c r="H94" s="88"/>
      <c r="I94" s="89"/>
      <c r="J94" s="88"/>
      <c r="K94" s="89"/>
      <c r="L94" s="88">
        <v>0.83</v>
      </c>
      <c r="M94" s="89">
        <v>0.75</v>
      </c>
      <c r="N94" s="88">
        <v>0.68</v>
      </c>
      <c r="O94" s="89">
        <v>0.67</v>
      </c>
      <c r="P94" s="88">
        <v>0.69</v>
      </c>
      <c r="Q94" s="89">
        <v>0.73</v>
      </c>
      <c r="R94" s="88">
        <v>0.8</v>
      </c>
      <c r="S94" s="89">
        <v>0.85</v>
      </c>
      <c r="T94" s="88">
        <v>0.92</v>
      </c>
      <c r="U94" s="89">
        <v>0.99</v>
      </c>
      <c r="V94" s="88">
        <v>1.09</v>
      </c>
      <c r="W94" s="89">
        <v>1.17</v>
      </c>
      <c r="X94" s="88">
        <v>1.26</v>
      </c>
      <c r="Y94" s="89">
        <v>1.36</v>
      </c>
      <c r="Z94" s="88">
        <v>1.49</v>
      </c>
      <c r="AA94" s="89"/>
      <c r="AB94" s="88"/>
      <c r="AC94" s="89"/>
      <c r="AD94" s="88"/>
      <c r="AE94" s="89"/>
      <c r="AF94" s="88"/>
      <c r="AG94" s="89"/>
      <c r="AH94" s="88"/>
      <c r="AI94" s="89"/>
      <c r="AJ94" s="88"/>
      <c r="AK94" s="89"/>
      <c r="AL94" s="88"/>
      <c r="AM94" s="89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</row>
    <row r="95" spans="1:54" ht="12.75">
      <c r="A95" s="90" t="str">
        <f t="shared" si="5"/>
        <v>Phoenix T FS-24  [IDA] (18,3)</v>
      </c>
      <c r="B95" s="87" t="s">
        <v>225</v>
      </c>
      <c r="C95" s="88" t="s">
        <v>226</v>
      </c>
      <c r="D95" s="92" t="s">
        <v>77</v>
      </c>
      <c r="E95" s="88">
        <v>18.3</v>
      </c>
      <c r="F95" s="88" t="s">
        <v>74</v>
      </c>
      <c r="G95" s="89"/>
      <c r="H95" s="88"/>
      <c r="I95" s="89"/>
      <c r="J95" s="88"/>
      <c r="K95" s="89">
        <v>0.63</v>
      </c>
      <c r="L95" s="88">
        <v>0.61</v>
      </c>
      <c r="M95" s="89">
        <v>0.59</v>
      </c>
      <c r="N95" s="88">
        <v>0.59</v>
      </c>
      <c r="O95" s="89">
        <v>0.63</v>
      </c>
      <c r="P95" s="88">
        <v>0.68</v>
      </c>
      <c r="Q95" s="89">
        <v>0.74</v>
      </c>
      <c r="R95" s="88">
        <v>0.84</v>
      </c>
      <c r="S95" s="89">
        <v>0.95</v>
      </c>
      <c r="T95" s="88">
        <v>1.05</v>
      </c>
      <c r="U95" s="89">
        <v>1.19</v>
      </c>
      <c r="V95" s="88">
        <v>1.34</v>
      </c>
      <c r="W95" s="89">
        <v>1.5</v>
      </c>
      <c r="X95" s="88">
        <v>1.7</v>
      </c>
      <c r="Y95" s="89">
        <v>1.87</v>
      </c>
      <c r="Z95" s="88">
        <v>2.1</v>
      </c>
      <c r="AA95" s="89">
        <v>2.33</v>
      </c>
      <c r="AB95" s="88">
        <v>2.6</v>
      </c>
      <c r="AC95" s="89">
        <v>2.92</v>
      </c>
      <c r="AD95" s="88">
        <v>3.19</v>
      </c>
      <c r="AE95" s="89">
        <v>3.53</v>
      </c>
      <c r="AF95" s="88"/>
      <c r="AG95" s="89"/>
      <c r="AH95" s="88"/>
      <c r="AI95" s="89"/>
      <c r="AJ95" s="88"/>
      <c r="AK95" s="89"/>
      <c r="AL95" s="88"/>
      <c r="AM95" s="89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</row>
    <row r="96" spans="1:54" ht="12.75">
      <c r="A96" s="90" t="str">
        <f t="shared" si="5"/>
        <v>Pik 20D  [IDA] (32,5)</v>
      </c>
      <c r="B96" s="87" t="s">
        <v>227</v>
      </c>
      <c r="C96" s="88" t="s">
        <v>228</v>
      </c>
      <c r="D96" s="92" t="s">
        <v>77</v>
      </c>
      <c r="E96" s="88">
        <v>32.5</v>
      </c>
      <c r="F96" s="88" t="s">
        <v>74</v>
      </c>
      <c r="G96" s="89"/>
      <c r="H96" s="88"/>
      <c r="I96" s="89"/>
      <c r="J96" s="88"/>
      <c r="K96" s="89"/>
      <c r="L96" s="88"/>
      <c r="M96" s="89">
        <v>0.71</v>
      </c>
      <c r="N96" s="88">
        <v>0.67</v>
      </c>
      <c r="O96" s="89">
        <v>0.66</v>
      </c>
      <c r="P96" s="88">
        <v>0.66</v>
      </c>
      <c r="Q96" s="89">
        <v>0.67</v>
      </c>
      <c r="R96" s="88">
        <v>0.68</v>
      </c>
      <c r="S96" s="89">
        <v>0.72</v>
      </c>
      <c r="T96" s="88">
        <v>0.77</v>
      </c>
      <c r="U96" s="89">
        <v>0.83</v>
      </c>
      <c r="V96" s="88">
        <v>0.89</v>
      </c>
      <c r="W96" s="89">
        <v>0.98</v>
      </c>
      <c r="X96" s="88">
        <v>1.06</v>
      </c>
      <c r="Y96" s="89">
        <v>1.15</v>
      </c>
      <c r="Z96" s="88">
        <v>1.25</v>
      </c>
      <c r="AA96" s="89">
        <v>1.35</v>
      </c>
      <c r="AB96" s="88">
        <v>1.46</v>
      </c>
      <c r="AC96" s="89">
        <v>1.58</v>
      </c>
      <c r="AD96" s="88">
        <v>1.69</v>
      </c>
      <c r="AE96" s="89">
        <v>1.8</v>
      </c>
      <c r="AF96" s="88">
        <v>1.92</v>
      </c>
      <c r="AG96" s="89">
        <v>2.05</v>
      </c>
      <c r="AH96" s="88">
        <v>2.2</v>
      </c>
      <c r="AI96" s="89">
        <v>2.34</v>
      </c>
      <c r="AJ96" s="88">
        <v>2.49</v>
      </c>
      <c r="AK96" s="89"/>
      <c r="AL96" s="88"/>
      <c r="AM96" s="89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</row>
    <row r="97" spans="1:54" ht="12.75">
      <c r="A97" s="90" t="str">
        <f t="shared" si="5"/>
        <v>PW5  [IDA] (27,36)</v>
      </c>
      <c r="B97" s="91" t="s">
        <v>229</v>
      </c>
      <c r="C97"/>
      <c r="D97" s="92" t="s">
        <v>77</v>
      </c>
      <c r="E97" s="97">
        <v>27.36</v>
      </c>
      <c r="F97" s="88" t="s">
        <v>74</v>
      </c>
      <c r="G97" s="89"/>
      <c r="H97" s="88"/>
      <c r="I97" s="89"/>
      <c r="J97" s="88"/>
      <c r="K97" s="89"/>
      <c r="L97" s="88"/>
      <c r="M97" s="89">
        <v>0.72</v>
      </c>
      <c r="N97" s="93">
        <v>0.69</v>
      </c>
      <c r="O97" s="89">
        <v>0.7</v>
      </c>
      <c r="P97" s="93">
        <v>0.72</v>
      </c>
      <c r="Q97" s="89">
        <v>0.76</v>
      </c>
      <c r="R97" s="93">
        <v>0.83</v>
      </c>
      <c r="S97" s="89">
        <v>0.92</v>
      </c>
      <c r="T97" s="93">
        <v>1.05</v>
      </c>
      <c r="U97" s="89">
        <v>1.12</v>
      </c>
      <c r="V97" s="93">
        <v>1.25</v>
      </c>
      <c r="W97" s="89">
        <v>1.4</v>
      </c>
      <c r="X97" s="93">
        <v>1.55</v>
      </c>
      <c r="Y97" s="89">
        <v>1.7</v>
      </c>
      <c r="Z97" s="93">
        <v>1.87</v>
      </c>
      <c r="AA97" s="89">
        <v>2.04</v>
      </c>
      <c r="AB97" s="93">
        <v>2.22</v>
      </c>
      <c r="AC97" s="89">
        <v>2.41</v>
      </c>
      <c r="AD97" s="93">
        <v>2.52</v>
      </c>
      <c r="AE97" s="89">
        <v>2.83</v>
      </c>
      <c r="AF97" s="93">
        <v>3.6</v>
      </c>
      <c r="AG97" s="89"/>
      <c r="AH97" s="93"/>
      <c r="AI97" s="89"/>
      <c r="AJ97" s="93"/>
      <c r="AK97" s="89"/>
      <c r="AL97" s="88"/>
      <c r="AM97" s="89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</row>
    <row r="98" spans="1:54" ht="12.75">
      <c r="A98" s="90" t="str">
        <f t="shared" si="5"/>
        <v>PW5  [MD] (24,6)</v>
      </c>
      <c r="B98" s="91" t="s">
        <v>229</v>
      </c>
      <c r="C98"/>
      <c r="D98" s="92" t="s">
        <v>80</v>
      </c>
      <c r="E98" s="97">
        <v>24.6</v>
      </c>
      <c r="F98" s="88" t="s">
        <v>74</v>
      </c>
      <c r="G98" s="89"/>
      <c r="H98" s="88"/>
      <c r="I98" s="89"/>
      <c r="J98" s="88"/>
      <c r="K98" s="89"/>
      <c r="L98" s="88"/>
      <c r="M98" s="89">
        <v>0.65</v>
      </c>
      <c r="N98" s="93">
        <v>0.64</v>
      </c>
      <c r="O98" s="89">
        <v>0.68</v>
      </c>
      <c r="P98" s="93">
        <v>0.7</v>
      </c>
      <c r="Q98" s="89">
        <v>0.8</v>
      </c>
      <c r="R98" s="93">
        <v>0.87</v>
      </c>
      <c r="S98" s="89">
        <v>0.95</v>
      </c>
      <c r="T98" s="93">
        <v>1.05</v>
      </c>
      <c r="U98" s="89">
        <v>1.17</v>
      </c>
      <c r="V98" s="93">
        <v>1.3</v>
      </c>
      <c r="W98" s="89">
        <v>1.4</v>
      </c>
      <c r="X98" s="93">
        <v>1.58</v>
      </c>
      <c r="Y98" s="89">
        <v>1.75</v>
      </c>
      <c r="Z98" s="93">
        <v>1.9</v>
      </c>
      <c r="AA98" s="89">
        <v>2.1</v>
      </c>
      <c r="AB98" s="93"/>
      <c r="AC98" s="89"/>
      <c r="AD98" s="93"/>
      <c r="AE98" s="89"/>
      <c r="AF98" s="93"/>
      <c r="AG98" s="89"/>
      <c r="AH98" s="93"/>
      <c r="AI98" s="89"/>
      <c r="AJ98" s="93"/>
      <c r="AK98" s="89"/>
      <c r="AL98" s="88"/>
      <c r="AM98" s="89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</row>
    <row r="99" spans="1:54" ht="12.75">
      <c r="A99" s="90" t="str">
        <f t="shared" si="5"/>
        <v>PW5  [MD+] (29,5)</v>
      </c>
      <c r="B99" s="91" t="s">
        <v>229</v>
      </c>
      <c r="C99"/>
      <c r="D99" s="92" t="s">
        <v>230</v>
      </c>
      <c r="E99" s="97">
        <v>29.5</v>
      </c>
      <c r="F99" s="88" t="s">
        <v>74</v>
      </c>
      <c r="G99" s="89"/>
      <c r="H99" s="88"/>
      <c r="I99" s="89"/>
      <c r="J99" s="88"/>
      <c r="K99" s="89"/>
      <c r="L99" s="88"/>
      <c r="M99" s="89">
        <v>0.77</v>
      </c>
      <c r="N99" s="93">
        <v>0.68</v>
      </c>
      <c r="O99" s="89">
        <v>0.71</v>
      </c>
      <c r="P99" s="93">
        <v>0.71</v>
      </c>
      <c r="Q99" s="89">
        <v>0.77</v>
      </c>
      <c r="R99" s="93">
        <v>0.82</v>
      </c>
      <c r="S99" s="89">
        <v>0.9</v>
      </c>
      <c r="T99" s="93">
        <v>0.99</v>
      </c>
      <c r="U99" s="89">
        <v>1.06</v>
      </c>
      <c r="V99" s="93">
        <v>1.16</v>
      </c>
      <c r="W99" s="89">
        <v>1.25</v>
      </c>
      <c r="X99" s="93">
        <v>1.36</v>
      </c>
      <c r="Y99" s="89">
        <v>1.47</v>
      </c>
      <c r="Z99" s="93">
        <v>1.65</v>
      </c>
      <c r="AA99" s="89">
        <v>1.84</v>
      </c>
      <c r="AB99" s="93">
        <v>2.04</v>
      </c>
      <c r="AC99" s="89">
        <v>2.28</v>
      </c>
      <c r="AD99" s="93">
        <v>2.5</v>
      </c>
      <c r="AE99" s="89">
        <v>2.72</v>
      </c>
      <c r="AF99" s="93">
        <v>2.99</v>
      </c>
      <c r="AG99" s="89"/>
      <c r="AH99" s="93"/>
      <c r="AI99" s="89"/>
      <c r="AJ99" s="93"/>
      <c r="AK99" s="89"/>
      <c r="AL99" s="88"/>
      <c r="AM99" s="89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</row>
    <row r="100" spans="1:54" ht="12.75">
      <c r="A100" s="90" t="str">
        <f t="shared" si="5"/>
        <v>Salto 15 H-101  ??  [IDA] (31,2)</v>
      </c>
      <c r="B100" s="87" t="s">
        <v>231</v>
      </c>
      <c r="C100" s="88" t="s">
        <v>232</v>
      </c>
      <c r="D100" s="92" t="s">
        <v>77</v>
      </c>
      <c r="E100" s="88">
        <v>31.2</v>
      </c>
      <c r="F100" s="88" t="s">
        <v>74</v>
      </c>
      <c r="G100" s="89"/>
      <c r="H100" s="88"/>
      <c r="I100" s="89"/>
      <c r="J100" s="88"/>
      <c r="K100" s="89"/>
      <c r="L100" s="88"/>
      <c r="M100" s="89">
        <v>0.75</v>
      </c>
      <c r="N100" s="88">
        <v>0.62</v>
      </c>
      <c r="O100" s="89">
        <v>0.62</v>
      </c>
      <c r="P100" s="88">
        <v>0.64</v>
      </c>
      <c r="Q100" s="89">
        <v>0.68</v>
      </c>
      <c r="R100" s="88">
        <v>0.73</v>
      </c>
      <c r="S100" s="89">
        <v>0.8</v>
      </c>
      <c r="T100" s="88">
        <v>0.87</v>
      </c>
      <c r="U100" s="89">
        <v>0.95</v>
      </c>
      <c r="V100" s="88">
        <v>1.04</v>
      </c>
      <c r="W100" s="89">
        <v>1.14</v>
      </c>
      <c r="X100" s="88">
        <v>1.24</v>
      </c>
      <c r="Y100" s="89">
        <v>1.34</v>
      </c>
      <c r="Z100" s="88">
        <v>1.46</v>
      </c>
      <c r="AA100" s="89">
        <v>1.58</v>
      </c>
      <c r="AB100" s="88">
        <v>1.73</v>
      </c>
      <c r="AC100" s="89">
        <v>1.88</v>
      </c>
      <c r="AD100" s="88">
        <v>2.03</v>
      </c>
      <c r="AE100" s="89">
        <v>2.2</v>
      </c>
      <c r="AF100" s="88">
        <v>2.37</v>
      </c>
      <c r="AG100" s="89">
        <v>2.56</v>
      </c>
      <c r="AH100" s="88">
        <v>2.75</v>
      </c>
      <c r="AI100" s="89">
        <v>2.93</v>
      </c>
      <c r="AJ100" s="88">
        <v>3.14</v>
      </c>
      <c r="AK100" s="89"/>
      <c r="AL100" s="88"/>
      <c r="AM100" s="89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</row>
    <row r="101" spans="1:54" ht="12.75">
      <c r="A101" s="90" t="str">
        <f t="shared" si="5"/>
        <v>Salto H-101  [IDA] (31,6)</v>
      </c>
      <c r="B101" s="87" t="s">
        <v>233</v>
      </c>
      <c r="C101" s="88" t="s">
        <v>234</v>
      </c>
      <c r="D101" s="92" t="s">
        <v>77</v>
      </c>
      <c r="E101" s="88">
        <v>31.6</v>
      </c>
      <c r="F101" s="88" t="s">
        <v>74</v>
      </c>
      <c r="G101" s="89"/>
      <c r="H101" s="88"/>
      <c r="I101" s="89"/>
      <c r="J101" s="88"/>
      <c r="K101" s="89"/>
      <c r="L101" s="88"/>
      <c r="M101" s="89"/>
      <c r="N101" s="88">
        <v>0.92</v>
      </c>
      <c r="O101" s="89">
        <v>0.72</v>
      </c>
      <c r="P101" s="88">
        <v>0.73</v>
      </c>
      <c r="Q101" s="89">
        <v>0.76</v>
      </c>
      <c r="R101" s="88">
        <v>0.8</v>
      </c>
      <c r="S101" s="89">
        <v>0.86</v>
      </c>
      <c r="T101" s="88">
        <v>0.93</v>
      </c>
      <c r="U101" s="89">
        <v>1.01</v>
      </c>
      <c r="V101" s="88">
        <v>1.1</v>
      </c>
      <c r="W101" s="89">
        <v>1.2</v>
      </c>
      <c r="X101" s="88">
        <v>1.32</v>
      </c>
      <c r="Y101" s="89">
        <v>1.44</v>
      </c>
      <c r="Z101" s="88">
        <v>1.57</v>
      </c>
      <c r="AA101" s="89">
        <v>1.7</v>
      </c>
      <c r="AB101" s="88">
        <v>1.84</v>
      </c>
      <c r="AC101" s="89">
        <v>1.99</v>
      </c>
      <c r="AD101" s="88">
        <v>2.15</v>
      </c>
      <c r="AE101" s="89">
        <v>2.34</v>
      </c>
      <c r="AF101" s="88">
        <v>2.53</v>
      </c>
      <c r="AG101" s="89">
        <v>2.74</v>
      </c>
      <c r="AH101" s="88">
        <v>2.96</v>
      </c>
      <c r="AI101" s="89"/>
      <c r="AJ101" s="88"/>
      <c r="AK101" s="89"/>
      <c r="AL101" s="88"/>
      <c r="AM101" s="89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</row>
    <row r="102" spans="1:54" ht="12.75">
      <c r="A102" s="90" t="str">
        <f t="shared" si="5"/>
        <v>SB-10  [IDA] (36,7)</v>
      </c>
      <c r="B102" s="87" t="s">
        <v>235</v>
      </c>
      <c r="C102" s="88" t="s">
        <v>236</v>
      </c>
      <c r="D102" s="92" t="s">
        <v>77</v>
      </c>
      <c r="E102" s="88">
        <v>36.7</v>
      </c>
      <c r="F102" s="88" t="s">
        <v>74</v>
      </c>
      <c r="G102" s="89"/>
      <c r="H102" s="88"/>
      <c r="I102" s="89"/>
      <c r="J102" s="88"/>
      <c r="K102" s="89"/>
      <c r="L102" s="88"/>
      <c r="M102" s="89"/>
      <c r="N102" s="88"/>
      <c r="O102" s="89">
        <v>0.48</v>
      </c>
      <c r="P102" s="88">
        <v>0.49</v>
      </c>
      <c r="Q102" s="89">
        <v>0.47</v>
      </c>
      <c r="R102" s="88">
        <v>0.49</v>
      </c>
      <c r="S102" s="89">
        <v>0.53</v>
      </c>
      <c r="T102" s="88">
        <v>0.57</v>
      </c>
      <c r="U102" s="89">
        <v>0.64</v>
      </c>
      <c r="V102" s="88">
        <v>0.69</v>
      </c>
      <c r="W102" s="89">
        <v>0.75</v>
      </c>
      <c r="X102" s="88">
        <v>0.82</v>
      </c>
      <c r="Y102" s="89">
        <v>0.9</v>
      </c>
      <c r="Z102" s="88">
        <v>0.97</v>
      </c>
      <c r="AA102" s="89">
        <v>1.05</v>
      </c>
      <c r="AB102" s="88">
        <v>1.14</v>
      </c>
      <c r="AC102" s="89">
        <v>1.24</v>
      </c>
      <c r="AD102" s="88">
        <v>1.33</v>
      </c>
      <c r="AE102" s="89">
        <v>1.42</v>
      </c>
      <c r="AF102" s="88">
        <v>1.52</v>
      </c>
      <c r="AG102" s="89">
        <v>1.63</v>
      </c>
      <c r="AH102" s="88">
        <v>1.74</v>
      </c>
      <c r="AI102" s="89">
        <v>1.87</v>
      </c>
      <c r="AJ102" s="88"/>
      <c r="AK102" s="89"/>
      <c r="AL102" s="88"/>
      <c r="AM102" s="89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</row>
    <row r="103" spans="1:54" ht="12.75">
      <c r="A103" s="90" t="str">
        <f t="shared" si="5"/>
        <v>SB-11  [IDA] (36,9)</v>
      </c>
      <c r="B103" s="87" t="s">
        <v>237</v>
      </c>
      <c r="C103" s="88" t="s">
        <v>238</v>
      </c>
      <c r="D103" s="92" t="s">
        <v>77</v>
      </c>
      <c r="E103" s="88">
        <v>36.9</v>
      </c>
      <c r="F103" s="88" t="s">
        <v>74</v>
      </c>
      <c r="G103" s="89"/>
      <c r="H103" s="88"/>
      <c r="I103" s="89"/>
      <c r="J103" s="88"/>
      <c r="K103" s="89"/>
      <c r="L103" s="88"/>
      <c r="M103" s="89">
        <v>0.68</v>
      </c>
      <c r="N103" s="88">
        <v>0.68</v>
      </c>
      <c r="O103" s="89">
        <v>0.68</v>
      </c>
      <c r="P103" s="88">
        <v>0.65</v>
      </c>
      <c r="Q103" s="89">
        <v>0.65</v>
      </c>
      <c r="R103" s="88">
        <v>0.66</v>
      </c>
      <c r="S103" s="89">
        <v>0.68</v>
      </c>
      <c r="T103" s="88">
        <v>0.71</v>
      </c>
      <c r="U103" s="89">
        <v>0.76</v>
      </c>
      <c r="V103" s="88">
        <v>0.81</v>
      </c>
      <c r="W103" s="89">
        <v>0.85</v>
      </c>
      <c r="X103" s="88">
        <v>0.91</v>
      </c>
      <c r="Y103" s="89">
        <v>0.97</v>
      </c>
      <c r="Z103" s="88">
        <v>1.04</v>
      </c>
      <c r="AA103" s="89">
        <v>1.12</v>
      </c>
      <c r="AB103" s="88">
        <v>1.22</v>
      </c>
      <c r="AC103" s="89">
        <v>1.3</v>
      </c>
      <c r="AD103" s="88">
        <v>1.4</v>
      </c>
      <c r="AE103" s="89">
        <v>1.51</v>
      </c>
      <c r="AF103" s="88">
        <v>1.62</v>
      </c>
      <c r="AG103" s="89">
        <v>1.72</v>
      </c>
      <c r="AH103" s="88">
        <v>1.84</v>
      </c>
      <c r="AI103" s="89">
        <v>1.95</v>
      </c>
      <c r="AJ103" s="88">
        <v>2.07</v>
      </c>
      <c r="AK103" s="89">
        <v>2.19</v>
      </c>
      <c r="AL103" s="88"/>
      <c r="AM103" s="89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</row>
    <row r="104" spans="1:54" ht="12.75">
      <c r="A104" s="90" t="str">
        <f aca="true" t="shared" si="6" ref="A104:A116">B104&amp;"  ["&amp;D104&amp;"] ("&amp;E104&amp;")"</f>
        <v>SB-12  [IDA] (33,2)</v>
      </c>
      <c r="B104" s="87" t="s">
        <v>239</v>
      </c>
      <c r="C104" s="88" t="s">
        <v>240</v>
      </c>
      <c r="D104" s="92" t="s">
        <v>77</v>
      </c>
      <c r="E104" s="88">
        <v>33.2</v>
      </c>
      <c r="F104" s="88" t="s">
        <v>74</v>
      </c>
      <c r="G104" s="89"/>
      <c r="H104" s="88"/>
      <c r="I104" s="89"/>
      <c r="J104" s="88"/>
      <c r="K104" s="89"/>
      <c r="L104" s="88"/>
      <c r="M104" s="89"/>
      <c r="N104" s="88">
        <v>0.63</v>
      </c>
      <c r="O104" s="89">
        <v>0.6</v>
      </c>
      <c r="P104" s="88">
        <v>0.6</v>
      </c>
      <c r="Q104" s="89">
        <v>0.62</v>
      </c>
      <c r="R104" s="88">
        <v>0.65</v>
      </c>
      <c r="S104" s="89">
        <v>0.69</v>
      </c>
      <c r="T104" s="88">
        <v>0.73</v>
      </c>
      <c r="U104" s="89">
        <v>0.78</v>
      </c>
      <c r="V104" s="88">
        <v>0.84</v>
      </c>
      <c r="W104" s="89">
        <v>0.91</v>
      </c>
      <c r="X104" s="88">
        <v>0.99</v>
      </c>
      <c r="Y104" s="89">
        <v>1.09</v>
      </c>
      <c r="Z104" s="88">
        <v>1.2</v>
      </c>
      <c r="AA104" s="89">
        <v>1.31</v>
      </c>
      <c r="AB104" s="88">
        <v>1.43</v>
      </c>
      <c r="AC104" s="89">
        <v>1.55</v>
      </c>
      <c r="AD104" s="88">
        <v>1.68</v>
      </c>
      <c r="AE104" s="89">
        <v>1.83</v>
      </c>
      <c r="AF104" s="88">
        <v>1.98</v>
      </c>
      <c r="AG104" s="89">
        <v>2.15</v>
      </c>
      <c r="AH104" s="88">
        <v>2.36</v>
      </c>
      <c r="AI104" s="89">
        <v>2.61</v>
      </c>
      <c r="AJ104" s="88">
        <v>2.91</v>
      </c>
      <c r="AK104" s="89">
        <v>3.24</v>
      </c>
      <c r="AL104" s="88"/>
      <c r="AM104" s="89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</row>
    <row r="105" spans="1:54" ht="12.75">
      <c r="A105" s="90" t="str">
        <f t="shared" si="6"/>
        <v>SF 34  [IDA] (36,1)</v>
      </c>
      <c r="B105" s="87" t="s">
        <v>241</v>
      </c>
      <c r="C105" s="88" t="s">
        <v>242</v>
      </c>
      <c r="D105" s="92" t="s">
        <v>77</v>
      </c>
      <c r="E105" s="88">
        <v>36.1</v>
      </c>
      <c r="F105" s="88" t="s">
        <v>74</v>
      </c>
      <c r="G105" s="89"/>
      <c r="H105" s="88"/>
      <c r="I105" s="89"/>
      <c r="J105" s="88"/>
      <c r="K105" s="89"/>
      <c r="L105" s="88"/>
      <c r="M105" s="89"/>
      <c r="N105" s="88"/>
      <c r="O105" s="89">
        <v>0.9</v>
      </c>
      <c r="P105" s="88">
        <v>0.84</v>
      </c>
      <c r="Q105" s="89">
        <v>0.83</v>
      </c>
      <c r="R105" s="88">
        <v>0.84</v>
      </c>
      <c r="S105" s="89">
        <v>0.86</v>
      </c>
      <c r="T105" s="88">
        <v>0.9</v>
      </c>
      <c r="U105" s="89">
        <v>0.95</v>
      </c>
      <c r="V105" s="88">
        <v>1.03</v>
      </c>
      <c r="W105" s="89">
        <v>1.11</v>
      </c>
      <c r="X105" s="88">
        <v>1.19</v>
      </c>
      <c r="Y105" s="89">
        <v>1.3</v>
      </c>
      <c r="Z105" s="88">
        <v>1.41</v>
      </c>
      <c r="AA105" s="89">
        <v>1.54</v>
      </c>
      <c r="AB105" s="88">
        <v>1.67</v>
      </c>
      <c r="AC105" s="89">
        <v>1.8</v>
      </c>
      <c r="AD105" s="88">
        <v>1.93</v>
      </c>
      <c r="AE105" s="89">
        <v>2.09</v>
      </c>
      <c r="AF105" s="88">
        <v>2.23</v>
      </c>
      <c r="AG105" s="89">
        <v>2.4</v>
      </c>
      <c r="AH105" s="88">
        <v>2.54</v>
      </c>
      <c r="AI105" s="89"/>
      <c r="AJ105" s="88"/>
      <c r="AK105" s="89"/>
      <c r="AL105" s="88"/>
      <c r="AM105" s="89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</row>
    <row r="106" spans="1:54" ht="12.75">
      <c r="A106" s="90" t="str">
        <f t="shared" si="6"/>
        <v>Skylark 3F  F43     [IDA] (21,15)</v>
      </c>
      <c r="B106" s="87" t="s">
        <v>243</v>
      </c>
      <c r="C106" s="88" t="s">
        <v>244</v>
      </c>
      <c r="D106" s="92" t="s">
        <v>77</v>
      </c>
      <c r="E106" s="88">
        <v>21.15</v>
      </c>
      <c r="F106" s="88" t="s">
        <v>74</v>
      </c>
      <c r="G106" s="89"/>
      <c r="H106" s="88"/>
      <c r="I106" s="89"/>
      <c r="J106" s="88"/>
      <c r="K106" s="89">
        <v>0.89</v>
      </c>
      <c r="L106" s="88">
        <v>0.64</v>
      </c>
      <c r="M106" s="89">
        <v>0.61</v>
      </c>
      <c r="N106" s="88">
        <v>0.64</v>
      </c>
      <c r="O106" s="89">
        <v>0.71</v>
      </c>
      <c r="P106" s="88">
        <v>0.79</v>
      </c>
      <c r="Q106" s="89">
        <v>0.88</v>
      </c>
      <c r="R106" s="88">
        <v>1</v>
      </c>
      <c r="S106" s="89">
        <v>1.11</v>
      </c>
      <c r="T106" s="88">
        <v>1.24</v>
      </c>
      <c r="U106" s="89">
        <v>1.37</v>
      </c>
      <c r="V106" s="88">
        <v>1.56</v>
      </c>
      <c r="W106" s="89">
        <v>1.72</v>
      </c>
      <c r="X106" s="88">
        <v>1.94</v>
      </c>
      <c r="Y106" s="89">
        <v>2.14</v>
      </c>
      <c r="Z106" s="88">
        <v>2.38</v>
      </c>
      <c r="AA106" s="89"/>
      <c r="AB106" s="88"/>
      <c r="AC106" s="89"/>
      <c r="AD106" s="88"/>
      <c r="AE106" s="89"/>
      <c r="AF106" s="88"/>
      <c r="AG106" s="89"/>
      <c r="AH106" s="88"/>
      <c r="AI106" s="89"/>
      <c r="AJ106" s="88"/>
      <c r="AK106" s="89"/>
      <c r="AL106" s="88"/>
      <c r="AM106" s="89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</row>
    <row r="107" spans="1:54" ht="12.75">
      <c r="A107" s="90" t="str">
        <f t="shared" si="6"/>
        <v>Std Austria SH  [IDA] (25,85)</v>
      </c>
      <c r="B107" s="87" t="s">
        <v>245</v>
      </c>
      <c r="C107" s="88"/>
      <c r="D107" s="92" t="s">
        <v>77</v>
      </c>
      <c r="E107" s="88">
        <v>25.85</v>
      </c>
      <c r="F107" s="88" t="s">
        <v>74</v>
      </c>
      <c r="G107" s="89"/>
      <c r="H107" s="88"/>
      <c r="I107" s="89"/>
      <c r="J107" s="88"/>
      <c r="K107" s="89"/>
      <c r="L107" s="88"/>
      <c r="M107" s="89"/>
      <c r="N107" s="88">
        <v>0.72</v>
      </c>
      <c r="O107" s="89">
        <v>0.7</v>
      </c>
      <c r="P107" s="88">
        <v>0.72</v>
      </c>
      <c r="Q107" s="89">
        <v>0.78</v>
      </c>
      <c r="R107" s="88">
        <v>0.85</v>
      </c>
      <c r="S107" s="89">
        <v>0.93</v>
      </c>
      <c r="T107" s="88">
        <v>1</v>
      </c>
      <c r="U107" s="89">
        <v>1.15</v>
      </c>
      <c r="V107" s="88">
        <v>1.29</v>
      </c>
      <c r="W107" s="89">
        <v>1.43</v>
      </c>
      <c r="X107" s="88">
        <v>1.6</v>
      </c>
      <c r="Y107" s="89">
        <v>1.76</v>
      </c>
      <c r="Z107" s="88">
        <v>1.92</v>
      </c>
      <c r="AA107" s="89"/>
      <c r="AB107" s="88"/>
      <c r="AC107" s="89"/>
      <c r="AD107" s="88"/>
      <c r="AE107" s="89"/>
      <c r="AF107" s="88"/>
      <c r="AG107" s="89"/>
      <c r="AH107" s="88"/>
      <c r="AI107" s="89"/>
      <c r="AJ107" s="88"/>
      <c r="AK107" s="89"/>
      <c r="AL107" s="88"/>
      <c r="AM107" s="89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</row>
    <row r="108" spans="1:54" ht="12.75">
      <c r="A108" s="90" t="str">
        <f t="shared" si="6"/>
        <v>Std Cirrus  [IDA] (30,6)</v>
      </c>
      <c r="B108" s="87" t="s">
        <v>246</v>
      </c>
      <c r="C108" s="88" t="s">
        <v>247</v>
      </c>
      <c r="D108" s="92" t="s">
        <v>77</v>
      </c>
      <c r="E108" s="88">
        <v>30.6</v>
      </c>
      <c r="F108" s="88" t="s">
        <v>74</v>
      </c>
      <c r="G108" s="89"/>
      <c r="H108" s="88"/>
      <c r="I108" s="89"/>
      <c r="J108" s="88"/>
      <c r="K108" s="89"/>
      <c r="L108" s="88"/>
      <c r="M108" s="89">
        <v>0.67</v>
      </c>
      <c r="N108" s="88">
        <v>0.64</v>
      </c>
      <c r="O108" s="89">
        <v>0.64</v>
      </c>
      <c r="P108" s="88">
        <v>0.66</v>
      </c>
      <c r="Q108" s="89">
        <v>0.7</v>
      </c>
      <c r="R108" s="88">
        <v>0.73</v>
      </c>
      <c r="S108" s="89">
        <v>0.77</v>
      </c>
      <c r="T108" s="88">
        <v>0.81</v>
      </c>
      <c r="U108" s="89">
        <v>0.9</v>
      </c>
      <c r="V108" s="88">
        <v>0.99</v>
      </c>
      <c r="W108" s="89">
        <v>1.07</v>
      </c>
      <c r="X108" s="88">
        <v>1.18</v>
      </c>
      <c r="Y108" s="89">
        <v>1.3</v>
      </c>
      <c r="Z108" s="88">
        <v>1.42</v>
      </c>
      <c r="AA108" s="89">
        <v>1.56</v>
      </c>
      <c r="AB108" s="88">
        <v>1.65</v>
      </c>
      <c r="AC108" s="89">
        <v>1.82</v>
      </c>
      <c r="AD108" s="88">
        <v>1.95</v>
      </c>
      <c r="AE108" s="89">
        <v>2.11</v>
      </c>
      <c r="AF108" s="88">
        <v>2.27</v>
      </c>
      <c r="AG108" s="89">
        <v>2.43</v>
      </c>
      <c r="AH108" s="88">
        <v>2.59</v>
      </c>
      <c r="AI108" s="89">
        <v>2.77</v>
      </c>
      <c r="AJ108" s="88">
        <v>2.95</v>
      </c>
      <c r="AK108" s="89">
        <v>3.14</v>
      </c>
      <c r="AL108" s="88">
        <v>3.33</v>
      </c>
      <c r="AM108" s="89">
        <v>3.59</v>
      </c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</row>
    <row r="109" spans="1:54" ht="12.75">
      <c r="A109" s="90" t="str">
        <f t="shared" si="6"/>
        <v>Std Cirrus  [IDA] (30,6)</v>
      </c>
      <c r="B109" s="91" t="s">
        <v>246</v>
      </c>
      <c r="C109"/>
      <c r="D109" s="92" t="s">
        <v>77</v>
      </c>
      <c r="E109" s="97">
        <v>30.6</v>
      </c>
      <c r="F109" s="88" t="s">
        <v>79</v>
      </c>
      <c r="G109" s="89"/>
      <c r="H109" s="88"/>
      <c r="I109" s="89"/>
      <c r="J109" s="88"/>
      <c r="K109" s="89"/>
      <c r="L109" s="88"/>
      <c r="M109" s="89">
        <v>1.2845770306672193</v>
      </c>
      <c r="N109" s="93">
        <v>1.246795353294654</v>
      </c>
      <c r="O109" s="89">
        <v>1.246795353294654</v>
      </c>
      <c r="P109" s="93">
        <v>1.2845770306672193</v>
      </c>
      <c r="Q109" s="89">
        <v>1.36014038541235</v>
      </c>
      <c r="R109" s="93">
        <v>1.3979220627849152</v>
      </c>
      <c r="S109" s="89">
        <v>1.4734854175300458</v>
      </c>
      <c r="T109" s="93">
        <v>1.5490487722751762</v>
      </c>
      <c r="U109" s="89">
        <v>1.7379571591380027</v>
      </c>
      <c r="V109" s="93">
        <v>1.8890838686282638</v>
      </c>
      <c r="W109" s="89">
        <v>2.07799225549109</v>
      </c>
      <c r="X109" s="93">
        <v>2.2669006423539164</v>
      </c>
      <c r="Y109" s="89">
        <v>2.493590706589308</v>
      </c>
      <c r="Z109" s="93">
        <v>2.7202807708247</v>
      </c>
      <c r="AA109" s="89">
        <v>2.8714074803149607</v>
      </c>
      <c r="AB109" s="93">
        <v>3.173660899295483</v>
      </c>
      <c r="AC109" s="89">
        <v>3.513695995648571</v>
      </c>
      <c r="AD109" s="93">
        <v>3.740386059883962</v>
      </c>
      <c r="AE109" s="89">
        <v>4.080421156237049</v>
      </c>
      <c r="AF109" s="93">
        <v>4.382674575217572</v>
      </c>
      <c r="AG109" s="89">
        <v>4.684927994198094</v>
      </c>
      <c r="AH109" s="93">
        <v>4.987181413178616</v>
      </c>
      <c r="AI109" s="89">
        <v>5.327216509531704</v>
      </c>
      <c r="AJ109" s="93">
        <v>5.667251605884791</v>
      </c>
      <c r="AK109" s="89">
        <v>6.045068379610444</v>
      </c>
      <c r="AL109" s="88"/>
      <c r="AM109" s="89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</row>
    <row r="110" spans="1:54" ht="12.75">
      <c r="A110" s="90" t="str">
        <f t="shared" si="6"/>
        <v>Std Libelle H-201  [IDA] (29,1)</v>
      </c>
      <c r="B110" s="87" t="s">
        <v>248</v>
      </c>
      <c r="C110" s="88" t="s">
        <v>249</v>
      </c>
      <c r="D110" s="92" t="s">
        <v>77</v>
      </c>
      <c r="E110" s="88">
        <v>29.1</v>
      </c>
      <c r="F110" s="88" t="s">
        <v>74</v>
      </c>
      <c r="G110" s="89"/>
      <c r="H110" s="88"/>
      <c r="I110" s="89"/>
      <c r="J110" s="88"/>
      <c r="K110" s="89"/>
      <c r="L110" s="88"/>
      <c r="M110" s="89"/>
      <c r="N110" s="88">
        <v>0.72</v>
      </c>
      <c r="O110" s="89">
        <v>0.68</v>
      </c>
      <c r="P110" s="88">
        <v>0.67</v>
      </c>
      <c r="Q110" s="89">
        <v>0.68</v>
      </c>
      <c r="R110" s="88">
        <v>0.7</v>
      </c>
      <c r="S110" s="89">
        <v>0.75</v>
      </c>
      <c r="T110" s="88">
        <v>0.82</v>
      </c>
      <c r="U110" s="89">
        <v>0.9</v>
      </c>
      <c r="V110" s="88">
        <v>1.02</v>
      </c>
      <c r="W110" s="89">
        <v>1.14</v>
      </c>
      <c r="X110" s="88">
        <v>1.28</v>
      </c>
      <c r="Y110" s="89">
        <v>1.43</v>
      </c>
      <c r="Z110" s="88">
        <v>1.57</v>
      </c>
      <c r="AA110" s="89">
        <v>1.73</v>
      </c>
      <c r="AB110" s="88">
        <v>1.89</v>
      </c>
      <c r="AC110" s="89">
        <v>2.06</v>
      </c>
      <c r="AD110" s="88"/>
      <c r="AE110" s="89"/>
      <c r="AF110" s="88"/>
      <c r="AG110" s="89"/>
      <c r="AH110" s="88"/>
      <c r="AI110" s="89"/>
      <c r="AJ110" s="88"/>
      <c r="AK110" s="89"/>
      <c r="AL110" s="88"/>
      <c r="AM110" s="89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</row>
    <row r="111" spans="1:54" ht="12.75">
      <c r="A111" s="90" t="str">
        <f t="shared" si="6"/>
        <v>SZD51-1 - Junior  [MD] (30,38)</v>
      </c>
      <c r="B111" s="91" t="s">
        <v>250</v>
      </c>
      <c r="C111"/>
      <c r="D111" s="92" t="s">
        <v>80</v>
      </c>
      <c r="E111" s="97">
        <v>30.38</v>
      </c>
      <c r="F111" s="88" t="s">
        <v>74</v>
      </c>
      <c r="G111" s="89"/>
      <c r="H111" s="88"/>
      <c r="I111" s="89"/>
      <c r="J111" s="88"/>
      <c r="K111" s="89"/>
      <c r="L111" s="88"/>
      <c r="M111" s="89">
        <v>0.67</v>
      </c>
      <c r="N111" s="93">
        <v>0.66</v>
      </c>
      <c r="O111" s="89">
        <v>0.65</v>
      </c>
      <c r="P111" s="93">
        <v>0.7</v>
      </c>
      <c r="Q111" s="89">
        <v>0.7</v>
      </c>
      <c r="R111" s="93">
        <v>0.75</v>
      </c>
      <c r="S111" s="89">
        <v>0.8</v>
      </c>
      <c r="T111" s="95">
        <v>0.85</v>
      </c>
      <c r="U111" s="89">
        <v>0.9</v>
      </c>
      <c r="V111" s="93">
        <v>1</v>
      </c>
      <c r="W111" s="89">
        <v>1.1</v>
      </c>
      <c r="X111" s="93">
        <v>1.2</v>
      </c>
      <c r="Y111" s="89">
        <v>1.3</v>
      </c>
      <c r="Z111" s="93">
        <v>1.45</v>
      </c>
      <c r="AA111" s="89">
        <v>1.65</v>
      </c>
      <c r="AB111" s="93">
        <v>1.75</v>
      </c>
      <c r="AC111" s="89">
        <v>1.9</v>
      </c>
      <c r="AD111" s="93">
        <v>2.1</v>
      </c>
      <c r="AE111" s="89">
        <v>2.3</v>
      </c>
      <c r="AF111" s="93">
        <v>2.45</v>
      </c>
      <c r="AG111" s="89">
        <v>2.65</v>
      </c>
      <c r="AH111" s="93">
        <v>2.8</v>
      </c>
      <c r="AI111" s="89">
        <v>3.2</v>
      </c>
      <c r="AJ111" s="93">
        <v>3.4</v>
      </c>
      <c r="AK111" s="89">
        <v>3.8</v>
      </c>
      <c r="AL111" s="88"/>
      <c r="AM111" s="89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</row>
    <row r="112" spans="1:54" ht="12.75">
      <c r="A112" s="90" t="str">
        <f t="shared" si="6"/>
        <v>SZD55  [MD] (52,08)</v>
      </c>
      <c r="B112" s="91" t="s">
        <v>251</v>
      </c>
      <c r="C112"/>
      <c r="D112" s="92" t="s">
        <v>80</v>
      </c>
      <c r="E112" s="97">
        <v>52.08</v>
      </c>
      <c r="F112" s="88" t="s">
        <v>74</v>
      </c>
      <c r="G112" s="89"/>
      <c r="H112" s="88"/>
      <c r="I112" s="89"/>
      <c r="J112" s="88"/>
      <c r="K112" s="89"/>
      <c r="L112" s="88"/>
      <c r="M112" s="89"/>
      <c r="N112" s="93"/>
      <c r="O112" s="89"/>
      <c r="P112" s="93">
        <v>0.9</v>
      </c>
      <c r="Q112" s="89">
        <v>0.8</v>
      </c>
      <c r="R112" s="93">
        <v>0.75</v>
      </c>
      <c r="S112" s="89">
        <v>0.74</v>
      </c>
      <c r="T112" s="93">
        <v>0.76</v>
      </c>
      <c r="U112" s="89">
        <v>0.78</v>
      </c>
      <c r="V112" s="93">
        <v>0.8</v>
      </c>
      <c r="W112" s="89">
        <v>0.83</v>
      </c>
      <c r="X112" s="93">
        <v>0.86</v>
      </c>
      <c r="Y112" s="89">
        <v>0.89</v>
      </c>
      <c r="Z112" s="93">
        <v>0.92</v>
      </c>
      <c r="AA112" s="89">
        <v>0.95</v>
      </c>
      <c r="AB112" s="93">
        <v>0.99</v>
      </c>
      <c r="AC112" s="89">
        <v>1.05</v>
      </c>
      <c r="AD112" s="93">
        <v>1.13</v>
      </c>
      <c r="AE112" s="89">
        <v>1.21</v>
      </c>
      <c r="AF112" s="93">
        <v>1.3</v>
      </c>
      <c r="AG112" s="89">
        <v>1.4</v>
      </c>
      <c r="AH112" s="93">
        <v>1.5</v>
      </c>
      <c r="AI112" s="89">
        <v>1.6</v>
      </c>
      <c r="AJ112" s="93">
        <v>1.7</v>
      </c>
      <c r="AK112" s="89">
        <v>1.8</v>
      </c>
      <c r="AL112" s="88"/>
      <c r="AM112" s="89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</row>
    <row r="113" spans="1:54" ht="12.75">
      <c r="A113" s="90" t="str">
        <f t="shared" si="6"/>
        <v>Ventus A  [IDA] (35)</v>
      </c>
      <c r="B113" s="87" t="s">
        <v>252</v>
      </c>
      <c r="C113" s="88" t="s">
        <v>253</v>
      </c>
      <c r="D113" s="92" t="s">
        <v>77</v>
      </c>
      <c r="E113" s="88">
        <v>35</v>
      </c>
      <c r="F113" s="88" t="s">
        <v>74</v>
      </c>
      <c r="G113" s="89"/>
      <c r="H113" s="88"/>
      <c r="I113" s="89"/>
      <c r="J113" s="88"/>
      <c r="K113" s="89"/>
      <c r="L113" s="88"/>
      <c r="M113" s="89"/>
      <c r="N113" s="88">
        <v>0.6</v>
      </c>
      <c r="O113" s="89">
        <v>0.6</v>
      </c>
      <c r="P113" s="88">
        <v>0.61</v>
      </c>
      <c r="Q113" s="89">
        <v>0.61</v>
      </c>
      <c r="R113" s="88">
        <v>0.61</v>
      </c>
      <c r="S113" s="89">
        <v>0.63</v>
      </c>
      <c r="T113" s="88">
        <v>0.67</v>
      </c>
      <c r="U113" s="89">
        <v>0.71</v>
      </c>
      <c r="V113" s="88">
        <v>0.75</v>
      </c>
      <c r="W113" s="89">
        <v>0.81</v>
      </c>
      <c r="X113" s="88">
        <v>0.87</v>
      </c>
      <c r="Y113" s="89">
        <v>0.93</v>
      </c>
      <c r="Z113" s="88">
        <v>1</v>
      </c>
      <c r="AA113" s="89">
        <v>1.09</v>
      </c>
      <c r="AB113" s="88">
        <v>1.18</v>
      </c>
      <c r="AC113" s="89">
        <v>1.28</v>
      </c>
      <c r="AD113" s="88">
        <v>1.38</v>
      </c>
      <c r="AE113" s="89">
        <v>1.49</v>
      </c>
      <c r="AF113" s="88">
        <v>1.6</v>
      </c>
      <c r="AG113" s="89">
        <v>1.72</v>
      </c>
      <c r="AH113" s="88">
        <v>1.85</v>
      </c>
      <c r="AI113" s="89">
        <v>1.98</v>
      </c>
      <c r="AJ113" s="88">
        <v>2.11</v>
      </c>
      <c r="AK113" s="89"/>
      <c r="AL113" s="88"/>
      <c r="AM113" s="89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</row>
    <row r="114" spans="1:54" ht="12.75">
      <c r="A114" s="90" t="str">
        <f t="shared" si="6"/>
        <v>Ventus A/16.6  [IDA] (32,5)</v>
      </c>
      <c r="B114" s="87" t="s">
        <v>254</v>
      </c>
      <c r="C114" s="88" t="s">
        <v>255</v>
      </c>
      <c r="D114" s="92" t="s">
        <v>77</v>
      </c>
      <c r="E114" s="88">
        <v>32.5</v>
      </c>
      <c r="F114" s="88" t="s">
        <v>74</v>
      </c>
      <c r="G114" s="89"/>
      <c r="H114" s="88"/>
      <c r="I114" s="89"/>
      <c r="J114" s="88"/>
      <c r="K114" s="89"/>
      <c r="L114" s="88"/>
      <c r="M114" s="89"/>
      <c r="N114" s="88">
        <v>0.55</v>
      </c>
      <c r="O114" s="89">
        <v>0.53</v>
      </c>
      <c r="P114" s="88">
        <v>0.54</v>
      </c>
      <c r="Q114" s="89">
        <v>0.56</v>
      </c>
      <c r="R114" s="88">
        <v>0.59</v>
      </c>
      <c r="S114" s="89">
        <v>0.61</v>
      </c>
      <c r="T114" s="88">
        <v>0.66</v>
      </c>
      <c r="U114" s="89">
        <v>0.72</v>
      </c>
      <c r="V114" s="88">
        <v>0.8</v>
      </c>
      <c r="W114" s="89">
        <v>0.85</v>
      </c>
      <c r="X114" s="88">
        <v>0.93</v>
      </c>
      <c r="Y114" s="89">
        <v>1.01</v>
      </c>
      <c r="Z114" s="88">
        <v>1.1</v>
      </c>
      <c r="AA114" s="89">
        <v>1.19</v>
      </c>
      <c r="AB114" s="88">
        <v>1.29</v>
      </c>
      <c r="AC114" s="89">
        <v>1.4</v>
      </c>
      <c r="AD114" s="88">
        <v>1.5</v>
      </c>
      <c r="AE114" s="89">
        <v>1.6</v>
      </c>
      <c r="AF114" s="88">
        <v>1.72</v>
      </c>
      <c r="AG114" s="89">
        <v>1.84</v>
      </c>
      <c r="AH114" s="88">
        <v>1.97</v>
      </c>
      <c r="AI114" s="89">
        <v>2.1</v>
      </c>
      <c r="AJ114" s="88">
        <v>2.23</v>
      </c>
      <c r="AK114" s="89">
        <v>2.37</v>
      </c>
      <c r="AL114" s="88">
        <v>2.51</v>
      </c>
      <c r="AM114" s="89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</row>
    <row r="115" spans="1:54" ht="12.75">
      <c r="A115" s="90" t="str">
        <f t="shared" si="6"/>
        <v>Ventus B  [IDA] (35)</v>
      </c>
      <c r="B115" s="87" t="s">
        <v>256</v>
      </c>
      <c r="C115" s="88" t="s">
        <v>257</v>
      </c>
      <c r="D115" s="92" t="s">
        <v>77</v>
      </c>
      <c r="E115" s="88">
        <v>35</v>
      </c>
      <c r="F115" s="88" t="s">
        <v>74</v>
      </c>
      <c r="G115" s="89"/>
      <c r="H115" s="88"/>
      <c r="I115" s="89"/>
      <c r="J115" s="88"/>
      <c r="K115" s="89"/>
      <c r="L115" s="88"/>
      <c r="M115" s="89"/>
      <c r="N115" s="88">
        <v>0.63</v>
      </c>
      <c r="O115" s="89">
        <v>0.58</v>
      </c>
      <c r="P115" s="88">
        <v>0.59</v>
      </c>
      <c r="Q115" s="89">
        <v>0.6</v>
      </c>
      <c r="R115" s="88">
        <v>0.63</v>
      </c>
      <c r="S115" s="89">
        <v>0.66</v>
      </c>
      <c r="T115" s="88">
        <v>0.68</v>
      </c>
      <c r="U115" s="89">
        <v>0.72</v>
      </c>
      <c r="V115" s="88">
        <v>0.76</v>
      </c>
      <c r="W115" s="89">
        <v>0.82</v>
      </c>
      <c r="X115" s="88">
        <v>0.88</v>
      </c>
      <c r="Y115" s="89">
        <v>0.94</v>
      </c>
      <c r="Z115" s="88">
        <v>1.02</v>
      </c>
      <c r="AA115" s="89">
        <v>1.11</v>
      </c>
      <c r="AB115" s="88">
        <v>1.23</v>
      </c>
      <c r="AC115" s="89">
        <v>1.33</v>
      </c>
      <c r="AD115" s="88">
        <v>1.45</v>
      </c>
      <c r="AE115" s="89">
        <v>1.57</v>
      </c>
      <c r="AF115" s="88">
        <v>1.69</v>
      </c>
      <c r="AG115" s="89">
        <v>1.8</v>
      </c>
      <c r="AH115" s="88">
        <v>1.93</v>
      </c>
      <c r="AI115" s="89">
        <v>2.05</v>
      </c>
      <c r="AJ115" s="88">
        <v>2.16</v>
      </c>
      <c r="AK115" s="89">
        <v>2.27</v>
      </c>
      <c r="AL115" s="88"/>
      <c r="AM115" s="89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</row>
    <row r="116" spans="1:54" ht="12.75">
      <c r="A116" s="90" t="str">
        <f t="shared" si="6"/>
        <v>Zigrogel lV  [IDA] (24,22)</v>
      </c>
      <c r="B116" s="87" t="s">
        <v>258</v>
      </c>
      <c r="C116" s="88"/>
      <c r="D116" s="92" t="s">
        <v>77</v>
      </c>
      <c r="E116" s="88">
        <v>24.22</v>
      </c>
      <c r="F116" s="88" t="s">
        <v>74</v>
      </c>
      <c r="G116" s="89"/>
      <c r="H116" s="88"/>
      <c r="I116" s="89"/>
      <c r="J116" s="88"/>
      <c r="K116" s="89"/>
      <c r="L116" s="88">
        <v>1</v>
      </c>
      <c r="M116" s="89">
        <v>0.7</v>
      </c>
      <c r="N116" s="88">
        <v>0.74</v>
      </c>
      <c r="O116" s="89">
        <v>0.8</v>
      </c>
      <c r="P116" s="88">
        <v>0.84</v>
      </c>
      <c r="Q116" s="89">
        <v>0.91</v>
      </c>
      <c r="R116" s="88">
        <v>0.98</v>
      </c>
      <c r="S116" s="89">
        <v>1.06</v>
      </c>
      <c r="T116" s="88">
        <v>1.14</v>
      </c>
      <c r="U116" s="89">
        <v>1.22</v>
      </c>
      <c r="V116" s="88">
        <v>1.33</v>
      </c>
      <c r="W116" s="89">
        <v>1.46</v>
      </c>
      <c r="X116" s="88">
        <v>1.61</v>
      </c>
      <c r="Y116" s="89">
        <v>1.74</v>
      </c>
      <c r="Z116" s="88">
        <v>1.93</v>
      </c>
      <c r="AA116" s="89"/>
      <c r="AB116" s="88"/>
      <c r="AC116" s="89"/>
      <c r="AD116" s="88"/>
      <c r="AE116" s="89"/>
      <c r="AF116" s="88"/>
      <c r="AG116" s="89"/>
      <c r="AH116" s="88"/>
      <c r="AI116" s="89"/>
      <c r="AJ116" s="88"/>
      <c r="AK116" s="89"/>
      <c r="AL116" s="88"/>
      <c r="AM116" s="89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</row>
    <row r="117" spans="2:54" ht="12.75">
      <c r="B117" s="87"/>
      <c r="C117" s="88"/>
      <c r="D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</row>
    <row r="118" spans="2:54" ht="12.75">
      <c r="B118" s="87"/>
      <c r="C118" s="88"/>
      <c r="D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</row>
    <row r="119" spans="2:54" ht="12.75">
      <c r="B119" s="87"/>
      <c r="C119" s="88"/>
      <c r="D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</row>
    <row r="120" spans="2:54" ht="12.75">
      <c r="B120" s="87"/>
      <c r="C120" s="88"/>
      <c r="D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</row>
    <row r="121" spans="2:54" ht="12.75">
      <c r="B121" s="87"/>
      <c r="C121" s="88"/>
      <c r="D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</row>
    <row r="122" spans="2:54" ht="12.75">
      <c r="B122" s="87"/>
      <c r="C122" s="88"/>
      <c r="D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</row>
    <row r="123" spans="2:54" ht="12.75">
      <c r="B123" s="87"/>
      <c r="C123" s="88"/>
      <c r="D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</row>
    <row r="124" spans="2:54" ht="12.75">
      <c r="B124" s="87"/>
      <c r="C124" s="88"/>
      <c r="D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</row>
    <row r="125" spans="2:54" ht="12.75">
      <c r="B125" s="87"/>
      <c r="C125" s="88"/>
      <c r="D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</row>
    <row r="126" spans="2:54" ht="12.75">
      <c r="B126" s="87"/>
      <c r="C126" s="88"/>
      <c r="D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</row>
    <row r="127" spans="2:54" ht="12.75">
      <c r="B127" s="87"/>
      <c r="C127" s="88"/>
      <c r="D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</row>
    <row r="128" spans="2:54" ht="12.75">
      <c r="B128" s="87"/>
      <c r="C128" s="88"/>
      <c r="D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</row>
    <row r="129" spans="2:54" ht="12.75">
      <c r="B129" s="87"/>
      <c r="C129" s="88"/>
      <c r="D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</row>
    <row r="130" spans="2:54" ht="12.75">
      <c r="B130" s="87"/>
      <c r="C130" s="88"/>
      <c r="D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</row>
    <row r="131" spans="2:54" ht="12.75">
      <c r="B131" s="87"/>
      <c r="C131" s="88"/>
      <c r="D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</row>
    <row r="132" spans="2:54" ht="12.75">
      <c r="B132" s="87"/>
      <c r="C132" s="88"/>
      <c r="D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</row>
    <row r="133" spans="2:54" ht="12.75">
      <c r="B133" s="87"/>
      <c r="C133" s="88"/>
      <c r="D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</row>
    <row r="134" spans="2:54" ht="12.75">
      <c r="B134" s="87"/>
      <c r="C134" s="88"/>
      <c r="D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</row>
    <row r="135" spans="2:54" ht="12.75">
      <c r="B135" s="87"/>
      <c r="C135" s="88"/>
      <c r="D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</row>
    <row r="136" spans="2:54" ht="12.75">
      <c r="B136" s="87"/>
      <c r="C136" s="88"/>
      <c r="D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</row>
    <row r="137" spans="2:54" ht="12.75">
      <c r="B137" s="87"/>
      <c r="C137" s="88"/>
      <c r="D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</row>
    <row r="138" spans="2:54" ht="12.75">
      <c r="B138" s="87"/>
      <c r="C138" s="88"/>
      <c r="D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</row>
    <row r="139" spans="2:54" ht="12.75">
      <c r="B139" s="87"/>
      <c r="C139" s="88"/>
      <c r="D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</row>
    <row r="140" spans="2:54" ht="12.75">
      <c r="B140" s="87"/>
      <c r="C140" s="88"/>
      <c r="D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</row>
    <row r="141" spans="2:54" ht="12.75">
      <c r="B141" s="87"/>
      <c r="C141" s="88"/>
      <c r="D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</row>
    <row r="142" spans="2:54" ht="12.75">
      <c r="B142" s="87"/>
      <c r="C142" s="88"/>
      <c r="D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</row>
    <row r="143" spans="2:54" ht="12.75">
      <c r="B143" s="87"/>
      <c r="C143" s="88"/>
      <c r="D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</row>
    <row r="144" spans="2:54" ht="12.75">
      <c r="B144" s="87"/>
      <c r="C144" s="88"/>
      <c r="D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</row>
    <row r="145" spans="2:54" ht="12.75">
      <c r="B145" s="87"/>
      <c r="C145" s="88"/>
      <c r="D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</row>
    <row r="146" spans="2:54" ht="12.75">
      <c r="B146" s="87"/>
      <c r="C146" s="88"/>
      <c r="D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</row>
    <row r="147" spans="2:54" ht="12.75">
      <c r="B147" s="87"/>
      <c r="C147" s="88"/>
      <c r="D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</row>
    <row r="148" spans="2:54" ht="12.75">
      <c r="B148" s="87"/>
      <c r="C148" s="88"/>
      <c r="D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</row>
    <row r="149" spans="2:54" ht="12.75">
      <c r="B149" s="87"/>
      <c r="C149" s="88"/>
      <c r="D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</row>
    <row r="150" spans="2:54" ht="12.75">
      <c r="B150" s="87"/>
      <c r="C150" s="88"/>
      <c r="D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</row>
    <row r="151" spans="2:54" ht="12.75">
      <c r="B151" s="87"/>
      <c r="C151" s="88"/>
      <c r="D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</row>
    <row r="152" spans="2:54" ht="12.75">
      <c r="B152" s="87"/>
      <c r="C152" s="88"/>
      <c r="D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</row>
    <row r="153" spans="2:54" ht="12.75">
      <c r="B153" s="87"/>
      <c r="C153" s="88"/>
      <c r="D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</row>
    <row r="154" spans="2:54" ht="12.75">
      <c r="B154" s="87"/>
      <c r="C154" s="88"/>
      <c r="D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</row>
    <row r="155" spans="2:54" ht="12.75">
      <c r="B155" s="87"/>
      <c r="C155" s="88"/>
      <c r="D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</row>
    <row r="156" spans="2:54" ht="12.75">
      <c r="B156" s="87"/>
      <c r="C156" s="88"/>
      <c r="D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</row>
    <row r="157" spans="2:54" ht="12.75">
      <c r="B157" s="87"/>
      <c r="C157" s="88"/>
      <c r="D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</row>
    <row r="158" spans="2:54" ht="12.75">
      <c r="B158" s="87"/>
      <c r="C158" s="88"/>
      <c r="D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</row>
    <row r="159" spans="2:54" ht="12.75">
      <c r="B159" s="87"/>
      <c r="C159" s="88"/>
      <c r="D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</row>
    <row r="160" spans="2:54" ht="12.75">
      <c r="B160" s="87"/>
      <c r="C160" s="88"/>
      <c r="D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</row>
    <row r="161" spans="2:54" ht="12.75">
      <c r="B161" s="87"/>
      <c r="C161" s="88"/>
      <c r="D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</row>
    <row r="162" spans="2:54" ht="12.75">
      <c r="B162" s="87"/>
      <c r="C162" s="88"/>
      <c r="D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</row>
    <row r="163" spans="2:54" ht="12.75">
      <c r="B163" s="87"/>
      <c r="C163" s="88"/>
      <c r="D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</row>
    <row r="164" spans="2:54" ht="12.75">
      <c r="B164" s="87"/>
      <c r="C164" s="88"/>
      <c r="D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</row>
    <row r="165" spans="2:54" ht="12.75">
      <c r="B165" s="87"/>
      <c r="C165" s="88"/>
      <c r="D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</row>
    <row r="166" spans="2:54" ht="12.75">
      <c r="B166" s="87"/>
      <c r="C166" s="88"/>
      <c r="D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</row>
    <row r="167" spans="2:54" ht="12.75">
      <c r="B167" s="87"/>
      <c r="C167" s="88"/>
      <c r="D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</row>
    <row r="168" spans="2:54" ht="12.75">
      <c r="B168" s="87"/>
      <c r="C168" s="88"/>
      <c r="D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</row>
    <row r="169" spans="2:54" ht="12.75">
      <c r="B169" s="87"/>
      <c r="C169" s="88"/>
      <c r="D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</row>
    <row r="170" spans="2:54" ht="12.75">
      <c r="B170" s="87"/>
      <c r="C170" s="88"/>
      <c r="D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</row>
    <row r="171" spans="2:54" ht="12.75">
      <c r="B171" s="87"/>
      <c r="C171" s="88"/>
      <c r="D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</row>
    <row r="172" spans="2:54" ht="12.75">
      <c r="B172" s="87"/>
      <c r="C172" s="88"/>
      <c r="D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</row>
    <row r="173" spans="2:54" ht="12.75">
      <c r="B173" s="87"/>
      <c r="C173" s="88"/>
      <c r="D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</row>
    <row r="174" spans="2:54" ht="12.75">
      <c r="B174" s="87"/>
      <c r="C174" s="88"/>
      <c r="D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</row>
    <row r="175" spans="2:54" ht="12.75">
      <c r="B175" s="87"/>
      <c r="C175" s="88"/>
      <c r="D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</row>
    <row r="176" spans="2:54" ht="12.75">
      <c r="B176" s="87"/>
      <c r="C176" s="88"/>
      <c r="D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</row>
    <row r="177" ht="12.75">
      <c r="F177" s="88"/>
    </row>
    <row r="178" ht="12.75">
      <c r="F178" s="88"/>
    </row>
    <row r="179" ht="12.75">
      <c r="F179" s="88"/>
    </row>
    <row r="180" ht="12.75">
      <c r="F180" s="88"/>
    </row>
    <row r="181" ht="12.75">
      <c r="F181" s="88"/>
    </row>
  </sheetData>
  <printOptions gridLines="1"/>
  <pageMargins left="0.47" right="0.67" top="1" bottom="1" header="0.5" footer="0.5"/>
  <pageSetup fitToHeight="3" fitToWidth="1" horizontalDpi="300" verticalDpi="300" orientation="landscape" paperSize="9" scale="84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="75" zoomScaleNormal="75" workbookViewId="0" topLeftCell="A1">
      <selection activeCell="E9" sqref="E9"/>
    </sheetView>
  </sheetViews>
  <sheetFormatPr defaultColWidth="9.00390625" defaultRowHeight="12.75"/>
  <cols>
    <col min="1" max="1" width="17.75390625" style="0" customWidth="1"/>
    <col min="2" max="2" width="5.375" style="0" customWidth="1"/>
    <col min="3" max="6" width="11.375" style="0" customWidth="1"/>
    <col min="7" max="7" width="10.625" style="0" customWidth="1"/>
    <col min="8" max="8" width="13.625" style="0" customWidth="1"/>
    <col min="9" max="9" width="10.75390625" style="0" customWidth="1"/>
    <col min="10" max="10" width="8.00390625" style="0" customWidth="1"/>
    <col min="11" max="12" width="9.00390625" style="0" customWidth="1"/>
    <col min="13" max="16384" width="11.375" style="0" customWidth="1"/>
  </cols>
  <sheetData>
    <row r="1" spans="1:5" ht="18">
      <c r="A1" s="6" t="s">
        <v>259</v>
      </c>
      <c r="E1" s="31" t="s">
        <v>260</v>
      </c>
    </row>
    <row r="2" spans="1:8" ht="15.75">
      <c r="A2" s="31" t="s">
        <v>261</v>
      </c>
      <c r="B2" s="34" t="s">
        <v>262</v>
      </c>
      <c r="C2">
        <v>24</v>
      </c>
      <c r="G2" s="1"/>
      <c r="H2" s="1"/>
    </row>
    <row r="3" spans="1:8" ht="15.75">
      <c r="A3" s="31" t="s">
        <v>263</v>
      </c>
      <c r="B3" s="34" t="s">
        <v>262</v>
      </c>
      <c r="C3">
        <v>92</v>
      </c>
      <c r="G3" s="33" t="s">
        <v>264</v>
      </c>
      <c r="H3" s="1"/>
    </row>
    <row r="4" spans="6:16" ht="12.75">
      <c r="F4" s="31" t="s">
        <v>265</v>
      </c>
      <c r="G4" s="31" t="s">
        <v>266</v>
      </c>
      <c r="H4" s="31" t="s">
        <v>267</v>
      </c>
      <c r="I4" s="31" t="s">
        <v>268</v>
      </c>
      <c r="J4" s="31" t="s">
        <v>269</v>
      </c>
      <c r="K4" s="31" t="s">
        <v>270</v>
      </c>
      <c r="L4" s="31" t="s">
        <v>271</v>
      </c>
      <c r="N4" s="1"/>
      <c r="O4" s="1"/>
      <c r="P4" s="1"/>
    </row>
    <row r="5" spans="1:17" ht="12.75">
      <c r="A5" s="31" t="s">
        <v>272</v>
      </c>
      <c r="B5" s="30" t="s">
        <v>273</v>
      </c>
      <c r="C5">
        <v>0</v>
      </c>
      <c r="D5" t="s">
        <v>79</v>
      </c>
      <c r="G5" t="str">
        <f>INDEX([0]!DATABASE,$C$2+1,ROW()-3)</f>
        <v>Blanik L13</v>
      </c>
      <c r="H5" t="str">
        <f>INDEX([0]!DATABASE,$C$3+1,ROW()-3)</f>
        <v>Pegase 101A</v>
      </c>
      <c r="I5" t="str">
        <f>G5</f>
        <v>Blanik L13</v>
      </c>
      <c r="J5" t="str">
        <f>I5</f>
        <v>Blanik L13</v>
      </c>
      <c r="K5" t="str">
        <f>G5</f>
        <v>Blanik L13</v>
      </c>
      <c r="L5" t="str">
        <f>H5</f>
        <v>Pegase 101A</v>
      </c>
      <c r="O5" s="1"/>
      <c r="Q5" s="1"/>
    </row>
    <row r="6" spans="7:17" ht="12.75">
      <c r="G6" t="str">
        <f>INDEX([0]!DATABASE,$C$2+1,ROW()-2)</f>
        <v>GB</v>
      </c>
      <c r="H6" t="str">
        <f>INDEX([0]!DATABASE,$C$3+1,ROW()-2)</f>
        <v>IDA</v>
      </c>
      <c r="I6" t="str">
        <f>G6</f>
        <v>GB</v>
      </c>
      <c r="J6" t="str">
        <f>I6</f>
        <v>GB</v>
      </c>
      <c r="K6" t="str">
        <f>IF(G6=0,#N/A,G6)</f>
        <v>GB</v>
      </c>
      <c r="L6" t="str">
        <f>IF(H6=0,#N/A,H6)</f>
        <v>IDA</v>
      </c>
      <c r="O6" s="1"/>
      <c r="Q6" s="1"/>
    </row>
    <row r="7" spans="1:17" ht="12.75">
      <c r="A7" s="31" t="s">
        <v>274</v>
      </c>
      <c r="F7" t="s">
        <v>275</v>
      </c>
      <c r="G7">
        <f>INDEX([0]!DATABASE,$C$2+1,ROW()-2)</f>
        <v>26.1</v>
      </c>
      <c r="H7">
        <f>INDEX([0]!DATABASE,$C$3+1,ROW()-2)</f>
        <v>32.8</v>
      </c>
      <c r="I7" s="5">
        <f>G7</f>
        <v>26.1</v>
      </c>
      <c r="J7" s="5">
        <f>I7</f>
        <v>26.1</v>
      </c>
      <c r="K7" s="5">
        <f>IF(G7=0,#N/A,G7)</f>
        <v>26.1</v>
      </c>
      <c r="L7" s="5">
        <f>IF(H7=0,#N/A,H7)</f>
        <v>32.8</v>
      </c>
      <c r="O7" s="1"/>
      <c r="Q7" s="1"/>
    </row>
    <row r="8" spans="2:17" ht="12.75">
      <c r="B8" s="7" t="s">
        <v>276</v>
      </c>
      <c r="C8" s="4">
        <f>((kvel3-kvel2)*(ksink1-ksink2)+(kvel2-kvel1)*(ksink3-ksink2))/(kvel1^2*(kvel3-kvel2)+kvel3^2*(kvel2-kvel1)+kvel2^2*(kvel1-kvel3))-D8</f>
        <v>-0.0016301227121316474</v>
      </c>
      <c r="D8">
        <v>0</v>
      </c>
      <c r="G8" t="str">
        <f>INDEX([0]!DATABASE,$C$2+1,ROW()-2)</f>
        <v>knots</v>
      </c>
      <c r="H8" t="str">
        <f>INDEX([0]!DATABASE,$C$3+1,ROW()-2)</f>
        <v>mps</v>
      </c>
      <c r="O8" s="1"/>
      <c r="Q8" s="1"/>
    </row>
    <row r="9" spans="1:17" ht="12.75">
      <c r="A9" s="3" t="s">
        <v>277</v>
      </c>
      <c r="B9" s="7" t="s">
        <v>278</v>
      </c>
      <c r="C9" s="4">
        <f>(ksink3-ksink2-ka*(kvel3*kvel3-kvel2*kvel2))/(kvel3-kvel2)-D9</f>
        <v>0.13793642628054276</v>
      </c>
      <c r="D9">
        <v>0</v>
      </c>
      <c r="F9" s="36">
        <f>INDEX([0]!DATABASE,1,ROW()-2)*knot_kph</f>
        <v>0</v>
      </c>
      <c r="G9" s="1">
        <f>IF(INDEX([0]!DATABASE,$C$2+1,ROW()-2)&lt;&gt;0,-INDEX(UnitTable,MATCH($G$8,UnitList,0),2)*INDEX([0]!DATABASE,$C$2+1,ROW()-2),"")</f>
      </c>
      <c r="H9" s="1">
        <f>IF(INDEX([0]!DATABASE,$C$3+1,ROW()-2)&lt;&gt;0,-INDEX(UnitTable,MATCH($H$8,UnitList,0),2)*INDEX([0]!DATABASE,$C$3+1,ROW()-2),"")</f>
      </c>
      <c r="I9" s="1">
        <f aca="true" t="shared" si="0" ref="I9:I37">kk+ka*kV^2+kb*kV+kc-kk</f>
        <v>-4.454140271493204</v>
      </c>
      <c r="J9" s="1">
        <f>-kk</f>
        <v>0</v>
      </c>
      <c r="K9" s="1" t="e">
        <f aca="true" t="shared" si="1" ref="K9:L37">IF(OR(G9=0,LEN(G9)=0),#N/A,G9)</f>
        <v>#N/A</v>
      </c>
      <c r="L9" s="1" t="e">
        <f t="shared" si="1"/>
        <v>#N/A</v>
      </c>
      <c r="O9" s="1"/>
      <c r="Q9" s="1"/>
    </row>
    <row r="10" spans="2:17" ht="12.75">
      <c r="B10" s="7" t="s">
        <v>279</v>
      </c>
      <c r="C10" s="4">
        <f>ksink2-ka*kvel2*kvel2-kb*kvel2-D10</f>
        <v>-4.454140271493204</v>
      </c>
      <c r="D10">
        <v>0</v>
      </c>
      <c r="F10" s="36">
        <f>INDEX([0]!DATABASE,1,ROW()-2)*knot_kph</f>
        <v>10.792236496753695</v>
      </c>
      <c r="G10" s="1">
        <f>IF(INDEX([0]!DATABASE,$C$2+1,ROW()-2)&lt;&gt;0,-INDEX(UnitTable,MATCH($G$8,UnitList,0),2)*INDEX([0]!DATABASE,$C$2+1,ROW()-2),"")</f>
      </c>
      <c r="H10" s="1">
        <f>IF(INDEX([0]!DATABASE,$C$3+1,ROW()-2)&lt;&gt;0,-INDEX(UnitTable,MATCH($H$8,UnitList,0),2)*INDEX([0]!DATABASE,$C$3+1,ROW()-2),"")</f>
      </c>
      <c r="I10" s="1">
        <f t="shared" si="0"/>
        <v>-3.1553619909502197</v>
      </c>
      <c r="J10" s="1" t="e">
        <v>#N/A</v>
      </c>
      <c r="K10" s="1" t="e">
        <f t="shared" si="1"/>
        <v>#N/A</v>
      </c>
      <c r="L10" s="1" t="e">
        <f t="shared" si="1"/>
        <v>#N/A</v>
      </c>
      <c r="O10" s="1"/>
      <c r="Q10" s="1"/>
    </row>
    <row r="11" spans="2:17" ht="12.75">
      <c r="B11" s="7"/>
      <c r="F11" s="36">
        <f>INDEX([0]!DATABASE,1,ROW()-2)*knot_kph</f>
        <v>21.58447299350739</v>
      </c>
      <c r="G11" s="1">
        <f>IF(INDEX([0]!DATABASE,$C$2+1,ROW()-2)&lt;&gt;0,-INDEX(UnitTable,MATCH($G$8,UnitList,0),2)*INDEX([0]!DATABASE,$C$2+1,ROW()-2),"")</f>
      </c>
      <c r="H11" s="1">
        <f>IF(INDEX([0]!DATABASE,$C$3+1,ROW()-2)&lt;&gt;0,-INDEX(UnitTable,MATCH($H$8,UnitList,0),2)*INDEX([0]!DATABASE,$C$3+1,ROW()-2),"")</f>
      </c>
      <c r="I11" s="1">
        <f t="shared" si="0"/>
        <v>-2.2363122171945653</v>
      </c>
      <c r="J11" s="1" t="e">
        <v>#N/A</v>
      </c>
      <c r="K11" s="1" t="e">
        <f t="shared" si="1"/>
        <v>#N/A</v>
      </c>
      <c r="L11" s="1" t="e">
        <f t="shared" si="1"/>
        <v>#N/A</v>
      </c>
      <c r="O11" s="1"/>
      <c r="Q11" s="1"/>
    </row>
    <row r="12" spans="1:17" ht="12.75">
      <c r="A12" s="31" t="s">
        <v>280</v>
      </c>
      <c r="F12" s="36">
        <f>INDEX([0]!DATABASE,1,ROW()-2)*knot_kph</f>
        <v>26.980591241884238</v>
      </c>
      <c r="G12" s="1">
        <f>IF(INDEX([0]!DATABASE,$C$2+1,ROW()-2)&lt;&gt;0,-INDEX(UnitTable,MATCH($G$8,UnitList,0),2)*INDEX([0]!DATABASE,$C$2+1,ROW()-2),"")</f>
      </c>
      <c r="H12" s="1">
        <f>IF(INDEX([0]!DATABASE,$C$3+1,ROW()-2)&lt;&gt;0,-INDEX(UnitTable,MATCH($H$8,UnitList,0),2)*INDEX([0]!DATABASE,$C$3+1,ROW()-2),"")</f>
      </c>
      <c r="I12" s="1">
        <f t="shared" si="0"/>
        <v>-1.919185520361987</v>
      </c>
      <c r="J12" s="1" t="e">
        <v>#N/A</v>
      </c>
      <c r="K12" s="1" t="e">
        <f t="shared" si="1"/>
        <v>#N/A</v>
      </c>
      <c r="L12" s="1" t="e">
        <f t="shared" si="1"/>
        <v>#N/A</v>
      </c>
      <c r="O12" s="1"/>
      <c r="Q12" s="1"/>
    </row>
    <row r="13" spans="1:17" ht="12.75">
      <c r="A13" s="3" t="s">
        <v>281</v>
      </c>
      <c r="B13" s="7" t="s">
        <v>282</v>
      </c>
      <c r="C13" s="4">
        <f>-kb+2*SQRT(ka*(kc+kk))</f>
        <v>0.03248417364307321</v>
      </c>
      <c r="F13" s="36">
        <f>INDEX([0]!DATABASE,1,ROW()-2)*knot_kph</f>
        <v>32.376709490261085</v>
      </c>
      <c r="G13" s="1">
        <f>IF(INDEX([0]!DATABASE,$C$2+1,ROW()-2)&lt;&gt;0,-INDEX(UnitTable,MATCH($G$8,UnitList,0),2)*INDEX([0]!DATABASE,$C$2+1,ROW()-2),"")</f>
      </c>
      <c r="H13" s="1">
        <f>IF(INDEX([0]!DATABASE,$C$3+1,ROW()-2)&lt;&gt;0,-INDEX(UnitTable,MATCH($H$8,UnitList,0),2)*INDEX([0]!DATABASE,$C$3+1,ROW()-2),"")</f>
      </c>
      <c r="I13" s="1">
        <f t="shared" si="0"/>
        <v>-1.6969909502262412</v>
      </c>
      <c r="J13" s="1" t="e">
        <v>#N/A</v>
      </c>
      <c r="K13" s="1" t="e">
        <f t="shared" si="1"/>
        <v>#N/A</v>
      </c>
      <c r="L13" s="1" t="e">
        <f t="shared" si="1"/>
        <v>#N/A</v>
      </c>
      <c r="O13" s="1"/>
      <c r="Q13" s="1"/>
    </row>
    <row r="14" spans="2:23" ht="12.75">
      <c r="B14" s="7" t="s">
        <v>283</v>
      </c>
      <c r="C14">
        <v>0</v>
      </c>
      <c r="F14" s="36">
        <f>INDEX([0]!DATABASE,1,ROW()-2)*knot_kph</f>
        <v>35.07476861444951</v>
      </c>
      <c r="G14" s="1">
        <f>IF(INDEX([0]!DATABASE,$C$2+1,ROW()-2)&lt;&gt;0,-INDEX(UnitTable,MATCH($G$8,UnitList,0),2)*INDEX([0]!DATABASE,$C$2+1,ROW()-2),"")</f>
      </c>
      <c r="H14" s="1">
        <f>IF(INDEX([0]!DATABASE,$C$3+1,ROW()-2)&lt;&gt;0,-INDEX(UnitTable,MATCH($H$8,UnitList,0),2)*INDEX([0]!DATABASE,$C$3+1,ROW()-2),"")</f>
      </c>
      <c r="I14" s="1">
        <f t="shared" si="0"/>
        <v>-1.621493212669681</v>
      </c>
      <c r="J14" s="1" t="e">
        <v>#N/A</v>
      </c>
      <c r="K14" s="1" t="e">
        <f t="shared" si="1"/>
        <v>#N/A</v>
      </c>
      <c r="L14" s="1" t="e">
        <f t="shared" si="1"/>
        <v>#N/A</v>
      </c>
      <c r="O14" s="1"/>
      <c r="Q14" s="1"/>
      <c r="R14" s="1"/>
      <c r="S14" s="1"/>
      <c r="T14" s="1"/>
      <c r="U14" s="1"/>
      <c r="V14" s="1"/>
      <c r="W14" s="1"/>
    </row>
    <row r="15" spans="6:23" ht="12.75">
      <c r="F15" s="36">
        <f>INDEX([0]!DATABASE,1,ROW()-2)*knot_kph</f>
        <v>37.772827738637936</v>
      </c>
      <c r="G15" s="1">
        <f>IF(INDEX([0]!DATABASE,$C$2+1,ROW()-2)&lt;&gt;0,-INDEX(UnitTable,MATCH($G$8,UnitList,0),2)*INDEX([0]!DATABASE,$C$2+1,ROW()-2),"")</f>
      </c>
      <c r="H15" s="1">
        <f>IF(INDEX([0]!DATABASE,$C$3+1,ROW()-2)&lt;&gt;0,-INDEX(UnitTable,MATCH($H$8,UnitList,0),2)*INDEX([0]!DATABASE,$C$3+1,ROW()-2),"")</f>
        <v>-1.5929341069208454</v>
      </c>
      <c r="I15" s="1">
        <f t="shared" si="0"/>
        <v>-1.5697285067873277</v>
      </c>
      <c r="J15" s="1" t="e">
        <v>#N/A</v>
      </c>
      <c r="K15" s="1" t="e">
        <f t="shared" si="1"/>
        <v>#N/A</v>
      </c>
      <c r="L15" s="1">
        <f t="shared" si="1"/>
        <v>-1.5929341069208454</v>
      </c>
      <c r="O15" s="1"/>
      <c r="Q15" s="1"/>
      <c r="R15" s="1"/>
      <c r="S15" s="1"/>
      <c r="T15" s="1"/>
      <c r="U15" s="1"/>
      <c r="V15" s="1"/>
      <c r="W15" s="1"/>
    </row>
    <row r="16" spans="1:17" ht="12.75">
      <c r="A16" s="31" t="s">
        <v>284</v>
      </c>
      <c r="B16" s="7" t="s">
        <v>285</v>
      </c>
      <c r="C16" s="5">
        <f>(-(kb+km))/(2*ka)</f>
        <v>52.27232240104294</v>
      </c>
      <c r="D16" t="s">
        <v>79</v>
      </c>
      <c r="F16" s="36">
        <f>INDEX([0]!DATABASE,1,ROW()-2)*knot_kph</f>
        <v>40.470886862826355</v>
      </c>
      <c r="G16" s="1">
        <f>IF(INDEX([0]!DATABASE,$C$2+1,ROW()-2)&lt;&gt;0,-INDEX(UnitTable,MATCH($G$8,UnitList,0),2)*INDEX([0]!DATABASE,$C$2+1,ROW()-2),"")</f>
      </c>
      <c r="H16" s="1">
        <f>IF(INDEX([0]!DATABASE,$C$3+1,ROW()-2)&lt;&gt;0,-INDEX(UnitTable,MATCH($H$8,UnitList,0),2)*INDEX([0]!DATABASE,$C$3+1,ROW()-2),"")</f>
        <v>-1.2821176958143392</v>
      </c>
      <c r="I16" s="1">
        <f t="shared" si="0"/>
        <v>-1.5416968325791838</v>
      </c>
      <c r="J16" s="1" t="e">
        <v>#N/A</v>
      </c>
      <c r="K16" s="1" t="e">
        <f t="shared" si="1"/>
        <v>#N/A</v>
      </c>
      <c r="L16" s="1">
        <f t="shared" si="1"/>
        <v>-1.2821176958143392</v>
      </c>
      <c r="O16" s="1"/>
      <c r="Q16" s="1"/>
    </row>
    <row r="17" spans="1:17" ht="12.75">
      <c r="A17" s="31" t="s">
        <v>286</v>
      </c>
      <c r="B17" s="7" t="s">
        <v>273</v>
      </c>
      <c r="C17" s="1">
        <f>-km*Vstf-kk</f>
        <v>-1.6980231976021845</v>
      </c>
      <c r="D17" t="s">
        <v>79</v>
      </c>
      <c r="F17" s="36">
        <f>INDEX([0]!DATABASE,1,ROW()-2)*knot_kph</f>
        <v>43.16894598701478</v>
      </c>
      <c r="G17" s="1">
        <f>IF(INDEX([0]!DATABASE,$C$2+1,ROW()-2)&lt;&gt;0,-INDEX(UnitTable,MATCH($G$8,UnitList,0),2)*INDEX([0]!DATABASE,$C$2+1,ROW()-2),"")</f>
      </c>
      <c r="H17" s="1">
        <f>IF(INDEX([0]!DATABASE,$C$3+1,ROW()-2)&lt;&gt;0,-INDEX(UnitTable,MATCH($H$8,UnitList,0),2)*INDEX([0]!DATABASE,$C$3+1,ROW()-2),"")</f>
        <v>-1.2238396187318692</v>
      </c>
      <c r="I17" s="1">
        <f t="shared" si="0"/>
        <v>-1.5373981900452467</v>
      </c>
      <c r="J17" s="1" t="e">
        <v>#N/A</v>
      </c>
      <c r="K17" s="1" t="e">
        <f t="shared" si="1"/>
        <v>#N/A</v>
      </c>
      <c r="L17" s="1">
        <f t="shared" si="1"/>
        <v>-1.2238396187318692</v>
      </c>
      <c r="O17" s="1"/>
      <c r="Q17" s="1"/>
    </row>
    <row r="18" spans="1:12" ht="12.75">
      <c r="A18" s="31" t="s">
        <v>287</v>
      </c>
      <c r="B18" s="7" t="s">
        <v>288</v>
      </c>
      <c r="C18" s="5">
        <f>1/km</f>
        <v>30.78422160242441</v>
      </c>
      <c r="F18" s="36">
        <f>INDEX([0]!DATABASE,1,ROW()-2)*knot_kph</f>
        <v>45.867005111203206</v>
      </c>
      <c r="G18" s="1">
        <f>IF(INDEX([0]!DATABASE,$C$2+1,ROW()-2)&lt;&gt;0,-INDEX(UnitTable,MATCH($G$8,UnitList,0),2)*INDEX([0]!DATABASE,$C$2+1,ROW()-2),"")</f>
      </c>
      <c r="H18" s="1">
        <f>IF(INDEX([0]!DATABASE,$C$3+1,ROW()-2)&lt;&gt;0,-INDEX(UnitTable,MATCH($H$8,UnitList,0),2)*INDEX([0]!DATABASE,$C$3+1,ROW()-2),"")</f>
        <v>-1.2044135930377124</v>
      </c>
      <c r="I18" s="1">
        <f t="shared" si="0"/>
        <v>-1.556832579185519</v>
      </c>
      <c r="J18" s="1" t="e">
        <v>#N/A</v>
      </c>
      <c r="K18" s="1" t="e">
        <f t="shared" si="1"/>
        <v>#N/A</v>
      </c>
      <c r="L18" s="1">
        <f t="shared" si="1"/>
        <v>-1.2044135930377124</v>
      </c>
    </row>
    <row r="19" spans="6:15" ht="12.75">
      <c r="F19" s="36">
        <f>INDEX([0]!DATABASE,1,ROW()-2)*knot_kph</f>
        <v>48.56506423539163</v>
      </c>
      <c r="G19" s="1">
        <f>IF(INDEX([0]!DATABASE,$C$2+1,ROW()-2)&lt;&gt;0,-INDEX(UnitTable,MATCH($G$8,UnitList,0),2)*INDEX([0]!DATABASE,$C$2+1,ROW()-2),"")</f>
        <v>-1.6</v>
      </c>
      <c r="H19" s="1">
        <f>IF(INDEX([0]!DATABASE,$C$3+1,ROW()-2)&lt;&gt;0,-INDEX(UnitTable,MATCH($H$8,UnitList,0),2)*INDEX([0]!DATABASE,$C$3+1,ROW()-2),"")</f>
        <v>-1.2238396187318692</v>
      </c>
      <c r="I19" s="1">
        <f t="shared" si="0"/>
        <v>-1.5999999999999988</v>
      </c>
      <c r="J19" s="1" t="e">
        <v>#N/A</v>
      </c>
      <c r="K19" s="1">
        <f t="shared" si="1"/>
        <v>-1.6</v>
      </c>
      <c r="L19" s="1">
        <f t="shared" si="1"/>
        <v>-1.2238396187318692</v>
      </c>
      <c r="O19" s="1"/>
    </row>
    <row r="20" spans="1:23" ht="12.75">
      <c r="A20" s="31" t="s">
        <v>289</v>
      </c>
      <c r="B20" t="s">
        <v>285</v>
      </c>
      <c r="C20" s="5">
        <f>SQRT(kc/ka)</f>
        <v>52.27232240104294</v>
      </c>
      <c r="D20" t="s">
        <v>79</v>
      </c>
      <c r="F20" s="36">
        <f>INDEX([0]!DATABASE,1,ROW()-2)*knot_kph</f>
        <v>51.26312335958006</v>
      </c>
      <c r="G20" s="1">
        <f>IF(INDEX([0]!DATABASE,$C$2+1,ROW()-2)&lt;&gt;0,-INDEX(UnitTable,MATCH($G$8,UnitList,0),2)*INDEX([0]!DATABASE,$C$2+1,ROW()-2),"")</f>
        <v>-1.6800000000000002</v>
      </c>
      <c r="H20" s="1">
        <f>IF(INDEX([0]!DATABASE,$C$3+1,ROW()-2)&lt;&gt;0,-INDEX(UnitTable,MATCH($H$8,UnitList,0),2)*INDEX([0]!DATABASE,$C$3+1,ROW()-2),"")</f>
        <v>-1.2821176958143392</v>
      </c>
      <c r="I20" s="1">
        <f t="shared" si="0"/>
        <v>-1.6669004524886875</v>
      </c>
      <c r="J20" s="1" t="e">
        <v>#N/A</v>
      </c>
      <c r="K20" s="1">
        <f t="shared" si="1"/>
        <v>-1.6800000000000002</v>
      </c>
      <c r="L20" s="1">
        <f t="shared" si="1"/>
        <v>-1.2821176958143392</v>
      </c>
      <c r="O20" s="1"/>
      <c r="Q20" s="1"/>
      <c r="R20" s="1"/>
      <c r="S20" s="1"/>
      <c r="T20" s="1"/>
      <c r="U20" s="1"/>
      <c r="V20" s="1"/>
      <c r="W20" s="1"/>
    </row>
    <row r="21" spans="1:23" ht="12.75">
      <c r="A21" s="31" t="s">
        <v>290</v>
      </c>
      <c r="B21" t="s">
        <v>291</v>
      </c>
      <c r="C21" s="5">
        <f>-1*kb/(2*ka)</f>
        <v>42.30860206228546</v>
      </c>
      <c r="D21" t="s">
        <v>79</v>
      </c>
      <c r="F21" s="36">
        <f>INDEX([0]!DATABASE,1,ROW()-2)*knot_kph</f>
        <v>53.961182483768475</v>
      </c>
      <c r="G21" s="1">
        <f>IF(INDEX([0]!DATABASE,$C$2+1,ROW()-2)&lt;&gt;0,-INDEX(UnitTable,MATCH($G$8,UnitList,0),2)*INDEX([0]!DATABASE,$C$2+1,ROW()-2),"")</f>
        <v>-1.76</v>
      </c>
      <c r="H21" s="1">
        <f>IF(INDEX([0]!DATABASE,$C$3+1,ROW()-2)&lt;&gt;0,-INDEX(UnitTable,MATCH($H$8,UnitList,0),2)*INDEX([0]!DATABASE,$C$3+1,ROW()-2),"")</f>
        <v>-1.3598217985909655</v>
      </c>
      <c r="I21" s="1">
        <f t="shared" si="0"/>
        <v>-1.7575339366515825</v>
      </c>
      <c r="J21" s="1" t="e">
        <v>#N/A</v>
      </c>
      <c r="K21" s="1">
        <f t="shared" si="1"/>
        <v>-1.76</v>
      </c>
      <c r="L21" s="1">
        <f t="shared" si="1"/>
        <v>-1.3598217985909655</v>
      </c>
      <c r="O21" s="1"/>
      <c r="Q21" s="1"/>
      <c r="R21" s="1"/>
      <c r="S21" s="1"/>
      <c r="T21" s="1"/>
      <c r="U21" s="1"/>
      <c r="V21" s="1"/>
      <c r="W21" s="1"/>
    </row>
    <row r="22" spans="1:23" ht="12.75">
      <c r="A22" s="31" t="s">
        <v>292</v>
      </c>
      <c r="B22" t="s">
        <v>293</v>
      </c>
      <c r="C22" s="5">
        <f>-kk/km</f>
        <v>0</v>
      </c>
      <c r="D22" t="s">
        <v>79</v>
      </c>
      <c r="F22" s="36">
        <f>INDEX([0]!DATABASE,1,ROW()-2)*knot_kph</f>
        <v>56.6592416079569</v>
      </c>
      <c r="G22" s="1">
        <f>IF(INDEX([0]!DATABASE,$C$2+1,ROW()-2)&lt;&gt;0,-INDEX(UnitTable,MATCH($G$8,UnitList,0),2)*INDEX([0]!DATABASE,$C$2+1,ROW()-2),"")</f>
        <v>-1.8849999999999998</v>
      </c>
      <c r="H22" s="1">
        <f>IF(INDEX([0]!DATABASE,$C$3+1,ROW()-2)&lt;&gt;0,-INDEX(UnitTable,MATCH($H$8,UnitList,0),2)*INDEX([0]!DATABASE,$C$3+1,ROW()-2),"")</f>
        <v>-1.4569519270617488</v>
      </c>
      <c r="I22" s="1">
        <f t="shared" si="0"/>
        <v>-1.8719004524886875</v>
      </c>
      <c r="J22" s="1" t="e">
        <v>#N/A</v>
      </c>
      <c r="K22" s="1">
        <f t="shared" si="1"/>
        <v>-1.8849999999999998</v>
      </c>
      <c r="L22" s="1">
        <f t="shared" si="1"/>
        <v>-1.4569519270617488</v>
      </c>
      <c r="O22" s="1"/>
      <c r="Q22" s="1"/>
      <c r="R22" s="1"/>
      <c r="S22" s="1"/>
      <c r="T22" s="1"/>
      <c r="U22" s="1"/>
      <c r="V22" s="1"/>
      <c r="W22" s="1"/>
    </row>
    <row r="23" spans="6:23" ht="12.75">
      <c r="F23" s="36">
        <f>INDEX([0]!DATABASE,1,ROW()-2)*knot_kph</f>
        <v>59.357300732145326</v>
      </c>
      <c r="G23" s="1">
        <f>IF(INDEX([0]!DATABASE,$C$2+1,ROW()-2)&lt;&gt;0,-INDEX(UnitTable,MATCH($G$8,UnitList,0),2)*INDEX([0]!DATABASE,$C$2+1,ROW()-2),"")</f>
        <v>-2.01</v>
      </c>
      <c r="H23" s="1">
        <f>IF(INDEX([0]!DATABASE,$C$3+1,ROW()-2)&lt;&gt;0,-INDEX(UnitTable,MATCH($H$8,UnitList,0),2)*INDEX([0]!DATABASE,$C$3+1,ROW()-2),"")</f>
        <v>-1.5735080812266888</v>
      </c>
      <c r="I23" s="1">
        <f t="shared" si="0"/>
        <v>-2.009999999999999</v>
      </c>
      <c r="J23" s="1" t="e">
        <v>#N/A</v>
      </c>
      <c r="K23" s="1">
        <f t="shared" si="1"/>
        <v>-2.01</v>
      </c>
      <c r="L23" s="1">
        <f t="shared" si="1"/>
        <v>-1.5735080812266888</v>
      </c>
      <c r="M23" s="1"/>
      <c r="O23" s="1"/>
      <c r="Q23" s="1"/>
      <c r="R23" s="1"/>
      <c r="S23" s="1"/>
      <c r="T23" s="1"/>
      <c r="U23" s="1"/>
      <c r="V23" s="1"/>
      <c r="W23" s="1"/>
    </row>
    <row r="24" spans="6:23" ht="12.75">
      <c r="F24" s="36">
        <f>INDEX([0]!DATABASE,1,ROW()-2)*knot_kph</f>
        <v>62.05535985633375</v>
      </c>
      <c r="G24" s="1">
        <f>IF(INDEX([0]!DATABASE,$C$2+1,ROW()-2)&lt;&gt;0,-INDEX(UnitTable,MATCH($G$8,UnitList,0),2)*INDEX([0]!DATABASE,$C$2+1,ROW()-2),"")</f>
        <v>-2.1849999999999996</v>
      </c>
      <c r="H24" s="1">
        <f>IF(INDEX([0]!DATABASE,$C$3+1,ROW()-2)&lt;&gt;0,-INDEX(UnitTable,MATCH($H$8,UnitList,0),2)*INDEX([0]!DATABASE,$C$3+1,ROW()-2),"")</f>
        <v>-1.7289162867799421</v>
      </c>
      <c r="I24" s="1">
        <f t="shared" si="0"/>
        <v>-2.17183257918552</v>
      </c>
      <c r="J24" s="1" t="e">
        <v>#N/A</v>
      </c>
      <c r="K24" s="1">
        <f t="shared" si="1"/>
        <v>-2.1849999999999996</v>
      </c>
      <c r="L24" s="1">
        <f t="shared" si="1"/>
        <v>-1.7289162867799421</v>
      </c>
      <c r="M24" s="1"/>
      <c r="O24" s="1"/>
      <c r="Q24" s="1"/>
      <c r="R24" s="1"/>
      <c r="S24" s="1"/>
      <c r="T24" s="1"/>
      <c r="U24" s="1"/>
      <c r="V24" s="1"/>
      <c r="W24" s="1"/>
    </row>
    <row r="25" spans="3:23" ht="12.75">
      <c r="C25">
        <v>0</v>
      </c>
      <c r="D25" t="s">
        <v>294</v>
      </c>
      <c r="F25" s="36">
        <f>INDEX([0]!DATABASE,1,ROW()-2)*knot_kph</f>
        <v>64.75341898052217</v>
      </c>
      <c r="G25" s="1">
        <f>IF(INDEX([0]!DATABASE,$C$2+1,ROW()-2)&lt;&gt;0,-INDEX(UnitTable,MATCH($G$8,UnitList,0),2)*INDEX([0]!DATABASE,$C$2+1,ROW()-2),"")</f>
        <v>-2.36</v>
      </c>
      <c r="H25" s="1">
        <f>IF(INDEX([0]!DATABASE,$C$3+1,ROW()-2)&lt;&gt;0,-INDEX(UnitTable,MATCH($H$8,UnitList,0),2)*INDEX([0]!DATABASE,$C$3+1,ROW()-2),"")</f>
        <v>-1.9231765437215085</v>
      </c>
      <c r="I25" s="1">
        <f t="shared" si="0"/>
        <v>-2.3573981900452488</v>
      </c>
      <c r="J25" s="1" t="e">
        <v>#N/A</v>
      </c>
      <c r="K25" s="1">
        <f t="shared" si="1"/>
        <v>-2.36</v>
      </c>
      <c r="L25" s="1">
        <f t="shared" si="1"/>
        <v>-1.9231765437215085</v>
      </c>
      <c r="M25" s="1"/>
      <c r="O25" s="1"/>
      <c r="Q25" s="1"/>
      <c r="R25" s="1"/>
      <c r="S25" s="1"/>
      <c r="T25" s="1"/>
      <c r="U25" s="1"/>
      <c r="V25" s="1"/>
      <c r="W25" s="1"/>
    </row>
    <row r="26" spans="3:23" ht="12.75">
      <c r="C26" t="s">
        <v>295</v>
      </c>
      <c r="F26" s="36">
        <f>INDEX([0]!DATABASE,1,ROW()-2)*knot_kph</f>
        <v>67.4514781047106</v>
      </c>
      <c r="G26" s="1">
        <f>IF(INDEX([0]!DATABASE,$C$2+1,ROW()-2)&lt;&gt;0,-INDEX(UnitTable,MATCH($G$8,UnitList,0),2)*INDEX([0]!DATABASE,$C$2+1,ROW()-2),"")</f>
        <v>-2.585</v>
      </c>
      <c r="H26" s="1">
        <f>IF(INDEX([0]!DATABASE,$C$3+1,ROW()-2)&lt;&gt;0,-INDEX(UnitTable,MATCH($H$8,UnitList,0),2)*INDEX([0]!DATABASE,$C$3+1,ROW()-2),"")</f>
        <v>-2.0980107749689187</v>
      </c>
      <c r="I26" s="1">
        <f t="shared" si="0"/>
        <v>-2.5666968325791855</v>
      </c>
      <c r="J26" s="1" t="e">
        <v>#N/A</v>
      </c>
      <c r="K26" s="1">
        <f t="shared" si="1"/>
        <v>-2.585</v>
      </c>
      <c r="L26" s="1">
        <f t="shared" si="1"/>
        <v>-2.0980107749689187</v>
      </c>
      <c r="M26" s="1"/>
      <c r="O26" s="1"/>
      <c r="Q26" s="1"/>
      <c r="R26" s="1"/>
      <c r="S26" s="1"/>
      <c r="T26" s="1"/>
      <c r="U26" s="1"/>
      <c r="V26" s="1"/>
      <c r="W26" s="1"/>
    </row>
    <row r="27" spans="1:23" ht="12.75">
      <c r="A27" s="33" t="s">
        <v>296</v>
      </c>
      <c r="B27">
        <f>MATCH(B33,Selected_data,0)</f>
        <v>11</v>
      </c>
      <c r="C27" s="36">
        <f>INDEX(kV,Speed_points,1)</f>
        <v>48.56506423539163</v>
      </c>
      <c r="D27" s="1">
        <f>INDEX(Selected_data,Speed_points,1)-C$25</f>
        <v>-1.6</v>
      </c>
      <c r="F27" s="36">
        <f>INDEX([0]!DATABASE,1,ROW()-2)*knot_kph</f>
        <v>70.14953722889902</v>
      </c>
      <c r="G27" s="1">
        <f>IF(INDEX([0]!DATABASE,$C$2+1,ROW()-2)&lt;&gt;0,-INDEX(UnitTable,MATCH($G$8,UnitList,0),2)*INDEX([0]!DATABASE,$C$2+1,ROW()-2),"")</f>
        <v>-2.81</v>
      </c>
      <c r="H27" s="1">
        <f>IF(INDEX([0]!DATABASE,$C$3+1,ROW()-2)&lt;&gt;0,-INDEX(UnitTable,MATCH($H$8,UnitList,0),2)*INDEX([0]!DATABASE,$C$3+1,ROW()-2),"")</f>
        <v>-2.3311230832987984</v>
      </c>
      <c r="I27" s="1">
        <f t="shared" si="0"/>
        <v>-2.799728506787332</v>
      </c>
      <c r="J27" s="1" t="e">
        <v>#N/A</v>
      </c>
      <c r="K27" s="1">
        <f t="shared" si="1"/>
        <v>-2.81</v>
      </c>
      <c r="L27" s="1">
        <f t="shared" si="1"/>
        <v>-2.3311230832987984</v>
      </c>
      <c r="M27" s="1"/>
      <c r="O27" s="1"/>
      <c r="Q27" s="1"/>
      <c r="R27" s="1"/>
      <c r="S27" s="1"/>
      <c r="T27" s="1"/>
      <c r="U27" s="1"/>
      <c r="V27" s="1"/>
      <c r="W27" s="1"/>
    </row>
    <row r="28" spans="1:23" ht="12.75">
      <c r="A28" s="33" t="s">
        <v>297</v>
      </c>
      <c r="B28">
        <f>INT((B29-B27)/B31+B27)</f>
        <v>15</v>
      </c>
      <c r="C28" s="36">
        <f>INDEX(kV,Speed_points,1)</f>
        <v>59.357300732145326</v>
      </c>
      <c r="D28" s="1">
        <f>INDEX(Selected_data,Speed_points,1)-C$25</f>
        <v>-2.01</v>
      </c>
      <c r="F28" s="36">
        <f>INDEX([0]!DATABASE,1,ROW()-2)*knot_kph</f>
        <v>72.84759635308744</v>
      </c>
      <c r="G28" s="1">
        <f>IF(INDEX([0]!DATABASE,$C$2+1,ROW()-2)&lt;&gt;0,-INDEX(UnitTable,MATCH($G$8,UnitList,0),2)*INDEX([0]!DATABASE,$C$2+1,ROW()-2),"")</f>
        <v>-3.075</v>
      </c>
      <c r="H28" s="1">
        <f>IF(INDEX([0]!DATABASE,$C$3+1,ROW()-2)&lt;&gt;0,-INDEX(UnitTable,MATCH($H$8,UnitList,0),2)*INDEX([0]!DATABASE,$C$3+1,ROW()-2),"")</f>
        <v>-2.5642353916286784</v>
      </c>
      <c r="I28" s="1">
        <f t="shared" si="0"/>
        <v>-3.056493212669684</v>
      </c>
      <c r="J28" s="1" t="e">
        <v>#N/A</v>
      </c>
      <c r="K28" s="1">
        <f t="shared" si="1"/>
        <v>-3.075</v>
      </c>
      <c r="L28" s="1">
        <f t="shared" si="1"/>
        <v>-2.5642353916286784</v>
      </c>
      <c r="M28" s="1"/>
      <c r="O28" s="1"/>
      <c r="Q28" s="1"/>
      <c r="R28" s="1"/>
      <c r="S28" s="1"/>
      <c r="T28" s="1"/>
      <c r="U28" s="1"/>
      <c r="V28" s="1"/>
      <c r="W28" s="1"/>
    </row>
    <row r="29" spans="1:23" ht="12.75">
      <c r="A29" s="33" t="s">
        <v>298</v>
      </c>
      <c r="B29">
        <f>MATCH(B34,Selected_data,0)-1</f>
        <v>28</v>
      </c>
      <c r="C29" s="36">
        <f>INDEX(kV,Speed_points,1)</f>
        <v>94.43206934659483</v>
      </c>
      <c r="D29" s="1">
        <f>INDEX(Selected_data,Speed_points,1)-C$25</f>
        <v>-5.965</v>
      </c>
      <c r="F29" s="36">
        <f>INDEX([0]!DATABASE,1,ROW()-2)*knot_kph</f>
        <v>75.54565547727587</v>
      </c>
      <c r="G29" s="1">
        <f>IF(INDEX([0]!DATABASE,$C$2+1,ROW()-2)&lt;&gt;0,-INDEX(UnitTable,MATCH($G$8,UnitList,0),2)*INDEX([0]!DATABASE,$C$2+1,ROW()-2),"")</f>
        <v>-3.34</v>
      </c>
      <c r="H29" s="1">
        <f>IF(INDEX([0]!DATABASE,$C$3+1,ROW()-2)&lt;&gt;0,-INDEX(UnitTable,MATCH($H$8,UnitList,0),2)*INDEX([0]!DATABASE,$C$3+1,ROW()-2),"")</f>
        <v>-2.855625777041028</v>
      </c>
      <c r="I29" s="1">
        <f t="shared" si="0"/>
        <v>-3.3369909502262445</v>
      </c>
      <c r="J29" s="1" t="e">
        <v>#N/A</v>
      </c>
      <c r="K29" s="1">
        <f t="shared" si="1"/>
        <v>-3.34</v>
      </c>
      <c r="L29" s="1">
        <f t="shared" si="1"/>
        <v>-2.855625777041028</v>
      </c>
      <c r="M29" s="1"/>
      <c r="O29" s="1"/>
      <c r="Q29" s="1"/>
      <c r="R29" s="1"/>
      <c r="S29" s="1"/>
      <c r="T29" s="1"/>
      <c r="U29" s="1"/>
      <c r="V29" s="1"/>
      <c r="W29" s="1"/>
    </row>
    <row r="30" spans="6:23" ht="12.75">
      <c r="F30" s="36">
        <f>INDEX([0]!DATABASE,1,ROW()-2)*knot_kph</f>
        <v>78.24371460146429</v>
      </c>
      <c r="G30" s="1">
        <f>IF(INDEX([0]!DATABASE,$C$2+1,ROW()-2)&lt;&gt;0,-INDEX(UnitTable,MATCH($G$8,UnitList,0),2)*INDEX([0]!DATABASE,$C$2+1,ROW()-2),"")</f>
        <v>-3.6550000000000002</v>
      </c>
      <c r="H30" s="1">
        <f>IF(INDEX([0]!DATABASE,$C$3+1,ROW()-2)&lt;&gt;0,-INDEX(UnitTable,MATCH($H$8,UnitList,0),2)*INDEX([0]!DATABASE,$C$3+1,ROW()-2),"")</f>
        <v>-3.1275901367592214</v>
      </c>
      <c r="I30" s="1">
        <f t="shared" si="0"/>
        <v>-3.6412217194570147</v>
      </c>
      <c r="J30" s="1" t="e">
        <v>#N/A</v>
      </c>
      <c r="K30" s="1">
        <f t="shared" si="1"/>
        <v>-3.6550000000000002</v>
      </c>
      <c r="L30" s="1">
        <f t="shared" si="1"/>
        <v>-3.1275901367592214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2.75">
      <c r="B31">
        <v>4</v>
      </c>
      <c r="F31" s="36">
        <f>INDEX([0]!DATABASE,1,ROW()-2)*knot_kph</f>
        <v>80.94177372565271</v>
      </c>
      <c r="G31" s="1">
        <f>IF(INDEX([0]!DATABASE,$C$2+1,ROW()-2)&lt;&gt;0,-INDEX(UnitTable,MATCH($G$8,UnitList,0),2)*INDEX([0]!DATABASE,$C$2+1,ROW()-2),"")</f>
        <v>-3.97</v>
      </c>
      <c r="H31" s="1">
        <f>IF(INDEX([0]!DATABASE,$C$3+1,ROW()-2)&lt;&gt;0,-INDEX(UnitTable,MATCH($H$8,UnitList,0),2)*INDEX([0]!DATABASE,$C$3+1,ROW()-2),"")</f>
        <v>-3.418980522171571</v>
      </c>
      <c r="I31" s="1">
        <f t="shared" si="0"/>
        <v>-3.9691855203619912</v>
      </c>
      <c r="J31" s="1" t="e">
        <v>#N/A</v>
      </c>
      <c r="K31" s="1">
        <f t="shared" si="1"/>
        <v>-3.97</v>
      </c>
      <c r="L31" s="1">
        <f t="shared" si="1"/>
        <v>-3.418980522171571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6:23" ht="12.75">
      <c r="F32" s="36">
        <f>INDEX([0]!DATABASE,1,ROW()-2)*knot_kph</f>
        <v>83.63983284984114</v>
      </c>
      <c r="G32" s="1">
        <f>IF(INDEX([0]!DATABASE,$C$2+1,ROW()-2)&lt;&gt;0,-INDEX(UnitTable,MATCH($G$8,UnitList,0),2)*INDEX([0]!DATABASE,$C$2+1,ROW()-2),"")</f>
        <v>-4.335</v>
      </c>
      <c r="H32" s="1">
        <f>IF(INDEX([0]!DATABASE,$C$3+1,ROW()-2)&lt;&gt;0,-INDEX(UnitTable,MATCH($H$8,UnitList,0),2)*INDEX([0]!DATABASE,$C$3+1,ROW()-2),"")</f>
        <v>-3.729796933278077</v>
      </c>
      <c r="I32" s="1">
        <f t="shared" si="0"/>
        <v>-4.320882352941178</v>
      </c>
      <c r="J32" s="1" t="e">
        <v>#N/A</v>
      </c>
      <c r="K32" s="1">
        <f t="shared" si="1"/>
        <v>-4.335</v>
      </c>
      <c r="L32" s="1">
        <f t="shared" si="1"/>
        <v>-3.729796933278077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3" t="s">
        <v>299</v>
      </c>
      <c r="B33" s="1">
        <f>MAX(Selected_data)</f>
        <v>-1.6</v>
      </c>
      <c r="F33" s="36">
        <f>INDEX([0]!DATABASE,1,ROW()-2)*knot_kph</f>
        <v>86.33789197402956</v>
      </c>
      <c r="G33" s="1">
        <f>IF(INDEX([0]!DATABASE,$C$2+1,ROW()-2)&lt;&gt;0,-INDEX(UnitTable,MATCH($G$8,UnitList,0),2)*INDEX([0]!DATABASE,$C$2+1,ROW()-2),"")</f>
        <v>-4.7</v>
      </c>
      <c r="H33" s="1">
        <f>IF(INDEX([0]!DATABASE,$C$3+1,ROW()-2)&lt;&gt;0,-INDEX(UnitTable,MATCH($H$8,UnitList,0),2)*INDEX([0]!DATABASE,$C$3+1,ROW()-2),"")</f>
        <v>-4.021187318690426</v>
      </c>
      <c r="I33" s="1">
        <f t="shared" si="0"/>
        <v>-4.696312217194569</v>
      </c>
      <c r="J33" s="1" t="e">
        <v>#N/A</v>
      </c>
      <c r="K33" s="1">
        <f t="shared" si="1"/>
        <v>-4.7</v>
      </c>
      <c r="L33" s="1">
        <f t="shared" si="1"/>
        <v>-4.021187318690426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3" t="s">
        <v>300</v>
      </c>
      <c r="B34" s="1">
        <f>MIN(Selected_data)</f>
        <v>-6.42</v>
      </c>
      <c r="F34" s="36">
        <f>INDEX([0]!DATABASE,1,ROW()-2)*knot_kph</f>
        <v>89.03595109821799</v>
      </c>
      <c r="G34" s="1">
        <f>IF(INDEX([0]!DATABASE,$C$2+1,ROW()-2)&lt;&gt;0,-INDEX(UnitTable,MATCH($G$8,UnitList,0),2)*INDEX([0]!DATABASE,$C$2+1,ROW()-2),"")</f>
        <v>-5.105</v>
      </c>
      <c r="H34" s="1">
        <f>IF(INDEX([0]!DATABASE,$C$3+1,ROW()-2)&lt;&gt;0,-INDEX(UnitTable,MATCH($H$8,UnitList,0),2)*INDEX([0]!DATABASE,$C$3+1,ROW()-2),"")</f>
        <v>-4.312577704102777</v>
      </c>
      <c r="I34" s="1">
        <f t="shared" si="0"/>
        <v>-5.095475113122173</v>
      </c>
      <c r="J34" s="1" t="e">
        <v>#N/A</v>
      </c>
      <c r="K34" s="1">
        <f t="shared" si="1"/>
        <v>-5.105</v>
      </c>
      <c r="L34" s="1">
        <f t="shared" si="1"/>
        <v>-4.312577704102777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6:23" ht="12.75">
      <c r="F35" s="36">
        <f>INDEX([0]!DATABASE,1,ROW()-2)*knot_kph</f>
        <v>91.73401022240641</v>
      </c>
      <c r="G35" s="1">
        <f>IF(INDEX([0]!DATABASE,$C$2+1,ROW()-2)&lt;&gt;0,-INDEX(UnitTable,MATCH($G$8,UnitList,0),2)*INDEX([0]!DATABASE,$C$2+1,ROW()-2),"")</f>
        <v>-5.51</v>
      </c>
      <c r="H35" s="1">
        <f>IF(INDEX([0]!DATABASE,$C$3+1,ROW()-2)&lt;&gt;0,-INDEX(UnitTable,MATCH($H$8,UnitList,0),2)*INDEX([0]!DATABASE,$C$3+1,ROW()-2),"")</f>
        <v>-4.603968089515127</v>
      </c>
      <c r="I35" s="1">
        <f t="shared" si="0"/>
        <v>-5.5183710407239825</v>
      </c>
      <c r="J35" s="1" t="e">
        <v>#N/A</v>
      </c>
      <c r="K35" s="1">
        <f t="shared" si="1"/>
        <v>-5.51</v>
      </c>
      <c r="L35" s="1">
        <f t="shared" si="1"/>
        <v>-4.603968089515127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6:23" ht="12.75">
      <c r="F36" s="36">
        <f>INDEX([0]!DATABASE,1,ROW()-2)*knot_kph</f>
        <v>94.43206934659483</v>
      </c>
      <c r="G36" s="1">
        <f>IF(INDEX([0]!DATABASE,$C$2+1,ROW()-2)&lt;&gt;0,-INDEX(UnitTable,MATCH($G$8,UnitList,0),2)*INDEX([0]!DATABASE,$C$2+1,ROW()-2),"")</f>
        <v>-5.965</v>
      </c>
      <c r="H36" s="1">
        <f>IF(INDEX([0]!DATABASE,$C$3+1,ROW()-2)&lt;&gt;0,-INDEX(UnitTable,MATCH($H$8,UnitList,0),2)*INDEX([0]!DATABASE,$C$3+1,ROW()-2),"")</f>
        <v>-4.934210526315789</v>
      </c>
      <c r="I36" s="1">
        <f t="shared" si="0"/>
        <v>-5.964999999999998</v>
      </c>
      <c r="J36" s="1" t="e">
        <v>#N/A</v>
      </c>
      <c r="K36" s="1">
        <f t="shared" si="1"/>
        <v>-5.965</v>
      </c>
      <c r="L36" s="1">
        <f t="shared" si="1"/>
        <v>-4.934210526315789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6:23" ht="12.75">
      <c r="F37" s="36">
        <f>INDEX([0]!DATABASE,1,ROW()-2)*knot_kph</f>
        <v>97.13012847078326</v>
      </c>
      <c r="G37" s="1">
        <f>IF(INDEX([0]!DATABASE,$C$2+1,ROW()-2)&lt;&gt;0,-INDEX(UnitTable,MATCH($G$8,UnitList,0),2)*INDEX([0]!DATABASE,$C$2+1,ROW()-2),"")</f>
        <v>-6.42</v>
      </c>
      <c r="H37" s="1">
        <f>IF(INDEX([0]!DATABASE,$C$3+1,ROW()-2)&lt;&gt;0,-INDEX(UnitTable,MATCH($H$8,UnitList,0),2)*INDEX([0]!DATABASE,$C$3+1,ROW()-2),"")</f>
        <v>-5.245026937422296</v>
      </c>
      <c r="I37" s="1">
        <f t="shared" si="0"/>
        <v>-6.435361990950227</v>
      </c>
      <c r="J37" s="1">
        <f>-1*kV*km-kk</f>
        <v>-3.1551919592189326</v>
      </c>
      <c r="K37" s="1">
        <f t="shared" si="1"/>
        <v>-6.42</v>
      </c>
      <c r="L37" s="1">
        <f t="shared" si="1"/>
        <v>-5.245026937422296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2:23" ht="12.7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2:23" ht="12.7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2:23" ht="12.7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2:23" ht="12.7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2:23" ht="12.7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2:23" ht="12.7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2:23" ht="12.7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="75" zoomScaleNormal="75" workbookViewId="0" topLeftCell="A1">
      <selection activeCell="M4" sqref="M4"/>
    </sheetView>
  </sheetViews>
  <sheetFormatPr defaultColWidth="9.00390625" defaultRowHeight="12.75"/>
  <sheetData>
    <row r="1" spans="1:5" ht="18">
      <c r="A1" s="6" t="s">
        <v>301</v>
      </c>
      <c r="E1" s="31" t="s">
        <v>302</v>
      </c>
    </row>
    <row r="2" spans="5:10" ht="12.75">
      <c r="E2" t="s">
        <v>303</v>
      </c>
      <c r="F2" t="s">
        <v>304</v>
      </c>
      <c r="I2" s="33" t="s">
        <v>305</v>
      </c>
      <c r="J2">
        <v>0</v>
      </c>
    </row>
    <row r="3" spans="5:6" ht="12.75">
      <c r="E3" t="s">
        <v>306</v>
      </c>
      <c r="F3" t="s">
        <v>307</v>
      </c>
    </row>
    <row r="4" spans="5:6" ht="12.75">
      <c r="E4" t="s">
        <v>308</v>
      </c>
      <c r="F4" t="s">
        <v>309</v>
      </c>
    </row>
    <row r="5" spans="1:6" ht="13.5" thickBot="1">
      <c r="A5" s="7" t="s">
        <v>303</v>
      </c>
      <c r="B5" s="7" t="s">
        <v>310</v>
      </c>
      <c r="C5" s="37" t="s">
        <v>306</v>
      </c>
      <c r="E5" t="s">
        <v>291</v>
      </c>
      <c r="F5" t="s">
        <v>311</v>
      </c>
    </row>
    <row r="6" ht="12.75">
      <c r="C6" s="7" t="s">
        <v>312</v>
      </c>
    </row>
    <row r="7" spans="2:3" ht="12.75">
      <c r="B7" s="3" t="s">
        <v>313</v>
      </c>
      <c r="C7">
        <f>J2/100</f>
        <v>0</v>
      </c>
    </row>
    <row r="8" spans="4:15" ht="12.75">
      <c r="D8" s="56" t="s">
        <v>314</v>
      </c>
      <c r="E8" s="57"/>
      <c r="F8" s="57"/>
      <c r="G8" s="57"/>
      <c r="H8" s="57"/>
      <c r="I8" s="58"/>
      <c r="J8" s="56" t="s">
        <v>315</v>
      </c>
      <c r="K8" s="57"/>
      <c r="L8" s="57"/>
      <c r="M8" s="57"/>
      <c r="N8" s="57"/>
      <c r="O8" s="58"/>
    </row>
    <row r="9" spans="2:15" ht="12.75">
      <c r="B9" t="s">
        <v>79</v>
      </c>
      <c r="C9" t="s">
        <v>79</v>
      </c>
      <c r="D9" s="59" t="s">
        <v>316</v>
      </c>
      <c r="E9" s="60"/>
      <c r="F9" s="60"/>
      <c r="G9" s="60"/>
      <c r="H9" s="60"/>
      <c r="I9" s="61"/>
      <c r="J9" s="59" t="s">
        <v>317</v>
      </c>
      <c r="K9" s="60"/>
      <c r="L9" s="60"/>
      <c r="M9" s="60"/>
      <c r="N9" s="60"/>
      <c r="O9" s="61"/>
    </row>
    <row r="10" spans="2:15" ht="12.75">
      <c r="B10" s="33" t="s">
        <v>284</v>
      </c>
      <c r="C10" s="33" t="s">
        <v>286</v>
      </c>
      <c r="D10" s="62">
        <v>-1</v>
      </c>
      <c r="E10" s="63">
        <v>-2</v>
      </c>
      <c r="F10" s="63">
        <v>-4</v>
      </c>
      <c r="G10" s="63">
        <v>-6</v>
      </c>
      <c r="H10" s="63">
        <v>-8</v>
      </c>
      <c r="I10" s="64">
        <v>-10</v>
      </c>
      <c r="J10" s="62">
        <v>0</v>
      </c>
      <c r="K10" s="63">
        <v>-2</v>
      </c>
      <c r="L10" s="63">
        <v>-4</v>
      </c>
      <c r="M10" s="63">
        <v>-6</v>
      </c>
      <c r="N10" s="63">
        <v>-8</v>
      </c>
      <c r="O10" s="64">
        <v>-10</v>
      </c>
    </row>
    <row r="11" spans="2:15" ht="12.75">
      <c r="B11" s="65">
        <f>PolarCalcs!$F9</f>
        <v>0</v>
      </c>
      <c r="C11" s="65" t="e">
        <f>PolarCalcs!$K9</f>
        <v>#N/A</v>
      </c>
      <c r="D11" s="68" t="e">
        <f>$B11/(1+(($C$7*(D$10+VminSink))+PolarCalcs!$K9)/D$10)*kph_knot</f>
        <v>#N/A</v>
      </c>
      <c r="E11" s="69" t="e">
        <f>$B11/(1+(($C$7*(E$10+VminSink))+PolarCalcs!$K9)/E$10)*kph_knot</f>
        <v>#N/A</v>
      </c>
      <c r="F11" s="69" t="e">
        <f>$B11/(1+(($C$7*(F$10+VminSink))+PolarCalcs!$K9)/F$10)*kph_knot</f>
        <v>#N/A</v>
      </c>
      <c r="G11" s="69" t="e">
        <f>$B11/(1+(($C$7*(G$10+VminSink))+PolarCalcs!$K9)/G$10)*kph_knot</f>
        <v>#N/A</v>
      </c>
      <c r="H11" s="69" t="e">
        <f>$B11/(1+(($C$7*(H$10+VminSink))+PolarCalcs!$K9)/H$10)*kph_knot</f>
        <v>#N/A</v>
      </c>
      <c r="I11" s="70" t="e">
        <f>$B11/(1+(($C$7*(I$10+VminSink))+PolarCalcs!$K9)/I$10)*kph_knot</f>
        <v>#N/A</v>
      </c>
      <c r="J11" s="68" t="e">
        <f aca="true" t="shared" si="0" ref="J11:O20">-$B11/($C11+$C$7*(J$10+VminSink))</f>
        <v>#N/A</v>
      </c>
      <c r="K11" s="69" t="e">
        <f t="shared" si="0"/>
        <v>#N/A</v>
      </c>
      <c r="L11" s="69" t="e">
        <f t="shared" si="0"/>
        <v>#N/A</v>
      </c>
      <c r="M11" s="69" t="e">
        <f t="shared" si="0"/>
        <v>#N/A</v>
      </c>
      <c r="N11" s="69" t="e">
        <f t="shared" si="0"/>
        <v>#N/A</v>
      </c>
      <c r="O11" s="70" t="e">
        <f t="shared" si="0"/>
        <v>#N/A</v>
      </c>
    </row>
    <row r="12" spans="2:15" ht="12.75">
      <c r="B12" s="66">
        <f>PolarCalcs!$F10</f>
        <v>10.792236496753695</v>
      </c>
      <c r="C12" s="66" t="e">
        <f>PolarCalcs!$K10</f>
        <v>#N/A</v>
      </c>
      <c r="D12" s="71" t="e">
        <f>$B12/(1+(($C$7*(D$10+VminSink))+PolarCalcs!$K10)/D$10)*kph_knot</f>
        <v>#N/A</v>
      </c>
      <c r="E12" s="72" t="e">
        <f>$B12/(1+(($C$7*(E$10+VminSink))+PolarCalcs!$K10)/E$10)*kph_knot</f>
        <v>#N/A</v>
      </c>
      <c r="F12" s="72" t="e">
        <f>$B12/(1+(($C$7*(F$10+VminSink))+PolarCalcs!$K10)/F$10)*kph_knot</f>
        <v>#N/A</v>
      </c>
      <c r="G12" s="72" t="e">
        <f>$B12/(1+(($C$7*(G$10+VminSink))+PolarCalcs!$K10)/G$10)*kph_knot</f>
        <v>#N/A</v>
      </c>
      <c r="H12" s="72" t="e">
        <f>$B12/(1+(($C$7*(H$10+VminSink))+PolarCalcs!$K10)/H$10)*kph_knot</f>
        <v>#N/A</v>
      </c>
      <c r="I12" s="73" t="e">
        <f>$B12/(1+(($C$7*(I$10+VminSink))+PolarCalcs!$K10)/I$10)*kph_knot</f>
        <v>#N/A</v>
      </c>
      <c r="J12" s="71" t="e">
        <f t="shared" si="0"/>
        <v>#N/A</v>
      </c>
      <c r="K12" s="72" t="e">
        <f t="shared" si="0"/>
        <v>#N/A</v>
      </c>
      <c r="L12" s="72" t="e">
        <f t="shared" si="0"/>
        <v>#N/A</v>
      </c>
      <c r="M12" s="72" t="e">
        <f t="shared" si="0"/>
        <v>#N/A</v>
      </c>
      <c r="N12" s="72" t="e">
        <f t="shared" si="0"/>
        <v>#N/A</v>
      </c>
      <c r="O12" s="73" t="e">
        <f t="shared" si="0"/>
        <v>#N/A</v>
      </c>
    </row>
    <row r="13" spans="2:15" ht="12.75">
      <c r="B13" s="66">
        <f>PolarCalcs!$F11</f>
        <v>21.58447299350739</v>
      </c>
      <c r="C13" s="66" t="e">
        <f>PolarCalcs!$K11</f>
        <v>#N/A</v>
      </c>
      <c r="D13" s="71" t="e">
        <f>$B13/(1+(($C$7*(D$10+VminSink))+PolarCalcs!$K11)/D$10)*kph_knot</f>
        <v>#N/A</v>
      </c>
      <c r="E13" s="72" t="e">
        <f>$B13/(1+(($C$7*(E$10+VminSink))+PolarCalcs!$K11)/E$10)*kph_knot</f>
        <v>#N/A</v>
      </c>
      <c r="F13" s="72" t="e">
        <f>$B13/(1+(($C$7*(F$10+VminSink))+PolarCalcs!$K11)/F$10)*kph_knot</f>
        <v>#N/A</v>
      </c>
      <c r="G13" s="72" t="e">
        <f>$B13/(1+(($C$7*(G$10+VminSink))+PolarCalcs!$K11)/G$10)*kph_knot</f>
        <v>#N/A</v>
      </c>
      <c r="H13" s="72" t="e">
        <f>$B13/(1+(($C$7*(H$10+VminSink))+PolarCalcs!$K11)/H$10)*kph_knot</f>
        <v>#N/A</v>
      </c>
      <c r="I13" s="73" t="e">
        <f>$B13/(1+(($C$7*(I$10+VminSink))+PolarCalcs!$K11)/I$10)*kph_knot</f>
        <v>#N/A</v>
      </c>
      <c r="J13" s="71" t="e">
        <f t="shared" si="0"/>
        <v>#N/A</v>
      </c>
      <c r="K13" s="72" t="e">
        <f t="shared" si="0"/>
        <v>#N/A</v>
      </c>
      <c r="L13" s="72" t="e">
        <f t="shared" si="0"/>
        <v>#N/A</v>
      </c>
      <c r="M13" s="72" t="e">
        <f t="shared" si="0"/>
        <v>#N/A</v>
      </c>
      <c r="N13" s="72" t="e">
        <f t="shared" si="0"/>
        <v>#N/A</v>
      </c>
      <c r="O13" s="73" t="e">
        <f t="shared" si="0"/>
        <v>#N/A</v>
      </c>
    </row>
    <row r="14" spans="2:15" ht="12.75">
      <c r="B14" s="66">
        <f>PolarCalcs!$F12</f>
        <v>26.980591241884238</v>
      </c>
      <c r="C14" s="66" t="e">
        <f>PolarCalcs!$K12</f>
        <v>#N/A</v>
      </c>
      <c r="D14" s="71" t="e">
        <f>$B14/(1+(($C$7*(D$10+VminSink))+PolarCalcs!$K12)/D$10)*kph_knot</f>
        <v>#N/A</v>
      </c>
      <c r="E14" s="72" t="e">
        <f>$B14/(1+(($C$7*(E$10+VminSink))+PolarCalcs!$K12)/E$10)*kph_knot</f>
        <v>#N/A</v>
      </c>
      <c r="F14" s="72" t="e">
        <f>$B14/(1+(($C$7*(F$10+VminSink))+PolarCalcs!$K12)/F$10)*kph_knot</f>
        <v>#N/A</v>
      </c>
      <c r="G14" s="72" t="e">
        <f>$B14/(1+(($C$7*(G$10+VminSink))+PolarCalcs!$K12)/G$10)*kph_knot</f>
        <v>#N/A</v>
      </c>
      <c r="H14" s="72" t="e">
        <f>$B14/(1+(($C$7*(H$10+VminSink))+PolarCalcs!$K12)/H$10)*kph_knot</f>
        <v>#N/A</v>
      </c>
      <c r="I14" s="73" t="e">
        <f>$B14/(1+(($C$7*(I$10+VminSink))+PolarCalcs!$K12)/I$10)*kph_knot</f>
        <v>#N/A</v>
      </c>
      <c r="J14" s="71" t="e">
        <f t="shared" si="0"/>
        <v>#N/A</v>
      </c>
      <c r="K14" s="72" t="e">
        <f t="shared" si="0"/>
        <v>#N/A</v>
      </c>
      <c r="L14" s="72" t="e">
        <f t="shared" si="0"/>
        <v>#N/A</v>
      </c>
      <c r="M14" s="72" t="e">
        <f t="shared" si="0"/>
        <v>#N/A</v>
      </c>
      <c r="N14" s="72" t="e">
        <f t="shared" si="0"/>
        <v>#N/A</v>
      </c>
      <c r="O14" s="73" t="e">
        <f t="shared" si="0"/>
        <v>#N/A</v>
      </c>
    </row>
    <row r="15" spans="2:15" ht="12.75">
      <c r="B15" s="66">
        <f>PolarCalcs!$F13</f>
        <v>32.376709490261085</v>
      </c>
      <c r="C15" s="66" t="e">
        <f>PolarCalcs!$K13</f>
        <v>#N/A</v>
      </c>
      <c r="D15" s="71" t="e">
        <f>$B15/(1+(($C$7*(D$10+VminSink))+PolarCalcs!$K13)/D$10)*kph_knot</f>
        <v>#N/A</v>
      </c>
      <c r="E15" s="72" t="e">
        <f>$B15/(1+(($C$7*(E$10+VminSink))+PolarCalcs!$K13)/E$10)*kph_knot</f>
        <v>#N/A</v>
      </c>
      <c r="F15" s="72" t="e">
        <f>$B15/(1+(($C$7*(F$10+VminSink))+PolarCalcs!$K13)/F$10)*kph_knot</f>
        <v>#N/A</v>
      </c>
      <c r="G15" s="72" t="e">
        <f>$B15/(1+(($C$7*(G$10+VminSink))+PolarCalcs!$K13)/G$10)*kph_knot</f>
        <v>#N/A</v>
      </c>
      <c r="H15" s="72" t="e">
        <f>$B15/(1+(($C$7*(H$10+VminSink))+PolarCalcs!$K13)/H$10)*kph_knot</f>
        <v>#N/A</v>
      </c>
      <c r="I15" s="73" t="e">
        <f>$B15/(1+(($C$7*(I$10+VminSink))+PolarCalcs!$K13)/I$10)*kph_knot</f>
        <v>#N/A</v>
      </c>
      <c r="J15" s="71" t="e">
        <f t="shared" si="0"/>
        <v>#N/A</v>
      </c>
      <c r="K15" s="72" t="e">
        <f t="shared" si="0"/>
        <v>#N/A</v>
      </c>
      <c r="L15" s="72" t="e">
        <f t="shared" si="0"/>
        <v>#N/A</v>
      </c>
      <c r="M15" s="72" t="e">
        <f t="shared" si="0"/>
        <v>#N/A</v>
      </c>
      <c r="N15" s="72" t="e">
        <f t="shared" si="0"/>
        <v>#N/A</v>
      </c>
      <c r="O15" s="73" t="e">
        <f t="shared" si="0"/>
        <v>#N/A</v>
      </c>
    </row>
    <row r="16" spans="2:15" ht="12.75">
      <c r="B16" s="66">
        <f>PolarCalcs!$F14</f>
        <v>35.07476861444951</v>
      </c>
      <c r="C16" s="66" t="e">
        <f>PolarCalcs!$K14</f>
        <v>#N/A</v>
      </c>
      <c r="D16" s="71" t="e">
        <f>$B16/(1+(($C$7*(D$10+VminSink))+PolarCalcs!$K14)/D$10)*kph_knot</f>
        <v>#N/A</v>
      </c>
      <c r="E16" s="72" t="e">
        <f>$B16/(1+(($C$7*(E$10+VminSink))+PolarCalcs!$K14)/E$10)*kph_knot</f>
        <v>#N/A</v>
      </c>
      <c r="F16" s="72" t="e">
        <f>$B16/(1+(($C$7*(F$10+VminSink))+PolarCalcs!$K14)/F$10)*kph_knot</f>
        <v>#N/A</v>
      </c>
      <c r="G16" s="72" t="e">
        <f>$B16/(1+(($C$7*(G$10+VminSink))+PolarCalcs!$K14)/G$10)*kph_knot</f>
        <v>#N/A</v>
      </c>
      <c r="H16" s="72" t="e">
        <f>$B16/(1+(($C$7*(H$10+VminSink))+PolarCalcs!$K14)/H$10)*kph_knot</f>
        <v>#N/A</v>
      </c>
      <c r="I16" s="73" t="e">
        <f>$B16/(1+(($C$7*(I$10+VminSink))+PolarCalcs!$K14)/I$10)*kph_knot</f>
        <v>#N/A</v>
      </c>
      <c r="J16" s="71" t="e">
        <f t="shared" si="0"/>
        <v>#N/A</v>
      </c>
      <c r="K16" s="72" t="e">
        <f t="shared" si="0"/>
        <v>#N/A</v>
      </c>
      <c r="L16" s="72" t="e">
        <f t="shared" si="0"/>
        <v>#N/A</v>
      </c>
      <c r="M16" s="72" t="e">
        <f t="shared" si="0"/>
        <v>#N/A</v>
      </c>
      <c r="N16" s="72" t="e">
        <f t="shared" si="0"/>
        <v>#N/A</v>
      </c>
      <c r="O16" s="73" t="e">
        <f t="shared" si="0"/>
        <v>#N/A</v>
      </c>
    </row>
    <row r="17" spans="2:15" ht="12.75">
      <c r="B17" s="66">
        <f>PolarCalcs!$F15</f>
        <v>37.772827738637936</v>
      </c>
      <c r="C17" s="66" t="e">
        <f>PolarCalcs!$K15</f>
        <v>#N/A</v>
      </c>
      <c r="D17" s="71" t="e">
        <f>$B17/(1+(($C$7*(D$10+VminSink))+PolarCalcs!$K15)/D$10)*kph_knot</f>
        <v>#N/A</v>
      </c>
      <c r="E17" s="72" t="e">
        <f>$B17/(1+(($C$7*(E$10+VminSink))+PolarCalcs!$K15)/E$10)*kph_knot</f>
        <v>#N/A</v>
      </c>
      <c r="F17" s="72" t="e">
        <f>$B17/(1+(($C$7*(F$10+VminSink))+PolarCalcs!$K15)/F$10)*kph_knot</f>
        <v>#N/A</v>
      </c>
      <c r="G17" s="72" t="e">
        <f>$B17/(1+(($C$7*(G$10+VminSink))+PolarCalcs!$K15)/G$10)*kph_knot</f>
        <v>#N/A</v>
      </c>
      <c r="H17" s="72" t="e">
        <f>$B17/(1+(($C$7*(H$10+VminSink))+PolarCalcs!$K15)/H$10)*kph_knot</f>
        <v>#N/A</v>
      </c>
      <c r="I17" s="73" t="e">
        <f>$B17/(1+(($C$7*(I$10+VminSink))+PolarCalcs!$K15)/I$10)*kph_knot</f>
        <v>#N/A</v>
      </c>
      <c r="J17" s="71" t="e">
        <f t="shared" si="0"/>
        <v>#N/A</v>
      </c>
      <c r="K17" s="72" t="e">
        <f t="shared" si="0"/>
        <v>#N/A</v>
      </c>
      <c r="L17" s="72" t="e">
        <f t="shared" si="0"/>
        <v>#N/A</v>
      </c>
      <c r="M17" s="72" t="e">
        <f t="shared" si="0"/>
        <v>#N/A</v>
      </c>
      <c r="N17" s="72" t="e">
        <f t="shared" si="0"/>
        <v>#N/A</v>
      </c>
      <c r="O17" s="73" t="e">
        <f t="shared" si="0"/>
        <v>#N/A</v>
      </c>
    </row>
    <row r="18" spans="2:15" ht="12.75">
      <c r="B18" s="66">
        <f>PolarCalcs!$F16</f>
        <v>40.470886862826355</v>
      </c>
      <c r="C18" s="66" t="e">
        <f>PolarCalcs!$K16</f>
        <v>#N/A</v>
      </c>
      <c r="D18" s="71" t="e">
        <f>$B18/(1+(($C$7*(D$10+VminSink))+PolarCalcs!$K16)/D$10)*kph_knot</f>
        <v>#N/A</v>
      </c>
      <c r="E18" s="72" t="e">
        <f>$B18/(1+(($C$7*(E$10+VminSink))+PolarCalcs!$K16)/E$10)*kph_knot</f>
        <v>#N/A</v>
      </c>
      <c r="F18" s="72" t="e">
        <f>$B18/(1+(($C$7*(F$10+VminSink))+PolarCalcs!$K16)/F$10)*kph_knot</f>
        <v>#N/A</v>
      </c>
      <c r="G18" s="72" t="e">
        <f>$B18/(1+(($C$7*(G$10+VminSink))+PolarCalcs!$K16)/G$10)*kph_knot</f>
        <v>#N/A</v>
      </c>
      <c r="H18" s="72" t="e">
        <f>$B18/(1+(($C$7*(H$10+VminSink))+PolarCalcs!$K16)/H$10)*kph_knot</f>
        <v>#N/A</v>
      </c>
      <c r="I18" s="73" t="e">
        <f>$B18/(1+(($C$7*(I$10+VminSink))+PolarCalcs!$K16)/I$10)*kph_knot</f>
        <v>#N/A</v>
      </c>
      <c r="J18" s="71" t="e">
        <f t="shared" si="0"/>
        <v>#N/A</v>
      </c>
      <c r="K18" s="72" t="e">
        <f t="shared" si="0"/>
        <v>#N/A</v>
      </c>
      <c r="L18" s="72" t="e">
        <f t="shared" si="0"/>
        <v>#N/A</v>
      </c>
      <c r="M18" s="72" t="e">
        <f t="shared" si="0"/>
        <v>#N/A</v>
      </c>
      <c r="N18" s="72" t="e">
        <f t="shared" si="0"/>
        <v>#N/A</v>
      </c>
      <c r="O18" s="73" t="e">
        <f t="shared" si="0"/>
        <v>#N/A</v>
      </c>
    </row>
    <row r="19" spans="2:15" ht="12.75">
      <c r="B19" s="66">
        <f>PolarCalcs!$F17</f>
        <v>43.16894598701478</v>
      </c>
      <c r="C19" s="66" t="e">
        <f>PolarCalcs!$K17</f>
        <v>#N/A</v>
      </c>
      <c r="D19" s="71" t="e">
        <f>$B19/(1+(($C$7*(D$10+VminSink))+PolarCalcs!$K17)/D$10)*kph_knot</f>
        <v>#N/A</v>
      </c>
      <c r="E19" s="72" t="e">
        <f>$B19/(1+(($C$7*(E$10+VminSink))+PolarCalcs!$K17)/E$10)*kph_knot</f>
        <v>#N/A</v>
      </c>
      <c r="F19" s="72" t="e">
        <f>$B19/(1+(($C$7*(F$10+VminSink))+PolarCalcs!$K17)/F$10)*kph_knot</f>
        <v>#N/A</v>
      </c>
      <c r="G19" s="72" t="e">
        <f>$B19/(1+(($C$7*(G$10+VminSink))+PolarCalcs!$K17)/G$10)*kph_knot</f>
        <v>#N/A</v>
      </c>
      <c r="H19" s="72" t="e">
        <f>$B19/(1+(($C$7*(H$10+VminSink))+PolarCalcs!$K17)/H$10)*kph_knot</f>
        <v>#N/A</v>
      </c>
      <c r="I19" s="73" t="e">
        <f>$B19/(1+(($C$7*(I$10+VminSink))+PolarCalcs!$K17)/I$10)*kph_knot</f>
        <v>#N/A</v>
      </c>
      <c r="J19" s="71" t="e">
        <f t="shared" si="0"/>
        <v>#N/A</v>
      </c>
      <c r="K19" s="72" t="e">
        <f t="shared" si="0"/>
        <v>#N/A</v>
      </c>
      <c r="L19" s="72" t="e">
        <f t="shared" si="0"/>
        <v>#N/A</v>
      </c>
      <c r="M19" s="72" t="e">
        <f t="shared" si="0"/>
        <v>#N/A</v>
      </c>
      <c r="N19" s="72" t="e">
        <f t="shared" si="0"/>
        <v>#N/A</v>
      </c>
      <c r="O19" s="73" t="e">
        <f t="shared" si="0"/>
        <v>#N/A</v>
      </c>
    </row>
    <row r="20" spans="2:15" ht="12.75">
      <c r="B20" s="66">
        <f>PolarCalcs!$F18</f>
        <v>45.867005111203206</v>
      </c>
      <c r="C20" s="66" t="e">
        <f>PolarCalcs!$K18</f>
        <v>#N/A</v>
      </c>
      <c r="D20" s="71" t="e">
        <f>$B20/(1+(($C$7*(D$10+VminSink))+PolarCalcs!$K18)/D$10)*kph_knot</f>
        <v>#N/A</v>
      </c>
      <c r="E20" s="72" t="e">
        <f>$B20/(1+(($C$7*(E$10+VminSink))+PolarCalcs!$K18)/E$10)*kph_knot</f>
        <v>#N/A</v>
      </c>
      <c r="F20" s="72" t="e">
        <f>$B20/(1+(($C$7*(F$10+VminSink))+PolarCalcs!$K18)/F$10)*kph_knot</f>
        <v>#N/A</v>
      </c>
      <c r="G20" s="72" t="e">
        <f>$B20/(1+(($C$7*(G$10+VminSink))+PolarCalcs!$K18)/G$10)*kph_knot</f>
        <v>#N/A</v>
      </c>
      <c r="H20" s="72" t="e">
        <f>$B20/(1+(($C$7*(H$10+VminSink))+PolarCalcs!$K18)/H$10)*kph_knot</f>
        <v>#N/A</v>
      </c>
      <c r="I20" s="73" t="e">
        <f>$B20/(1+(($C$7*(I$10+VminSink))+PolarCalcs!$K18)/I$10)*kph_knot</f>
        <v>#N/A</v>
      </c>
      <c r="J20" s="71" t="e">
        <f t="shared" si="0"/>
        <v>#N/A</v>
      </c>
      <c r="K20" s="72" t="e">
        <f t="shared" si="0"/>
        <v>#N/A</v>
      </c>
      <c r="L20" s="72" t="e">
        <f t="shared" si="0"/>
        <v>#N/A</v>
      </c>
      <c r="M20" s="72" t="e">
        <f t="shared" si="0"/>
        <v>#N/A</v>
      </c>
      <c r="N20" s="72" t="e">
        <f t="shared" si="0"/>
        <v>#N/A</v>
      </c>
      <c r="O20" s="73" t="e">
        <f t="shared" si="0"/>
        <v>#N/A</v>
      </c>
    </row>
    <row r="21" spans="2:15" ht="12.75">
      <c r="B21" s="66">
        <f>PolarCalcs!$F19</f>
        <v>48.56506423539163</v>
      </c>
      <c r="C21" s="66">
        <f>PolarCalcs!$K19</f>
        <v>-1.6</v>
      </c>
      <c r="D21" s="71">
        <f>$B21/(1+(($C$7*(D$10+VminSink))+PolarCalcs!$K19)/D$10)*kph_knot</f>
        <v>34.61538461538461</v>
      </c>
      <c r="E21" s="72">
        <f>$B21/(1+(($C$7*(E$10+VminSink))+PolarCalcs!$K19)/E$10)*kph_knot</f>
        <v>50</v>
      </c>
      <c r="F21" s="72">
        <f>$B21/(1+(($C$7*(F$10+VminSink))+PolarCalcs!$K19)/F$10)*kph_knot</f>
        <v>64.28571428571429</v>
      </c>
      <c r="G21" s="72">
        <f>$B21/(1+(($C$7*(G$10+VminSink))+PolarCalcs!$K19)/G$10)*kph_knot</f>
        <v>71.05263157894738</v>
      </c>
      <c r="H21" s="72">
        <f>$B21/(1+(($C$7*(H$10+VminSink))+PolarCalcs!$K19)/H$10)*kph_knot</f>
        <v>75</v>
      </c>
      <c r="I21" s="73">
        <f>$B21/(1+(($C$7*(I$10+VminSink))+PolarCalcs!$K19)/I$10)*kph_knot</f>
        <v>77.58620689655173</v>
      </c>
      <c r="J21" s="71">
        <f aca="true" t="shared" si="1" ref="J21:O30">-$B21/($C21+$C$7*(J$10+VminSink))</f>
        <v>30.353165147119768</v>
      </c>
      <c r="K21" s="72">
        <f t="shared" si="1"/>
        <v>30.353165147119768</v>
      </c>
      <c r="L21" s="72">
        <f t="shared" si="1"/>
        <v>30.353165147119768</v>
      </c>
      <c r="M21" s="72">
        <f t="shared" si="1"/>
        <v>30.353165147119768</v>
      </c>
      <c r="N21" s="72">
        <f t="shared" si="1"/>
        <v>30.353165147119768</v>
      </c>
      <c r="O21" s="73">
        <f t="shared" si="1"/>
        <v>30.353165147119768</v>
      </c>
    </row>
    <row r="22" spans="2:15" ht="12.75">
      <c r="B22" s="66">
        <f>PolarCalcs!$F20</f>
        <v>51.26312335958006</v>
      </c>
      <c r="C22" s="66">
        <f>PolarCalcs!$K20</f>
        <v>-1.6800000000000002</v>
      </c>
      <c r="D22" s="71">
        <f>$B22/(1+(($C$7*(D$10+VminSink))+PolarCalcs!$K20)/D$10)*kph_knot</f>
        <v>35.44776119402985</v>
      </c>
      <c r="E22" s="72">
        <f>$B22/(1+(($C$7*(E$10+VminSink))+PolarCalcs!$K20)/E$10)*kph_knot</f>
        <v>51.630434782608695</v>
      </c>
      <c r="F22" s="72">
        <f>$B22/(1+(($C$7*(F$10+VminSink))+PolarCalcs!$K20)/F$10)*kph_knot</f>
        <v>66.90140845070422</v>
      </c>
      <c r="G22" s="72">
        <f>$B22/(1+(($C$7*(G$10+VminSink))+PolarCalcs!$K20)/G$10)*kph_knot</f>
        <v>74.21875</v>
      </c>
      <c r="H22" s="72">
        <f>$B22/(1+(($C$7*(H$10+VminSink))+PolarCalcs!$K20)/H$10)*kph_knot</f>
        <v>78.51239669421489</v>
      </c>
      <c r="I22" s="73">
        <f>$B22/(1+(($C$7*(I$10+VminSink))+PolarCalcs!$K20)/I$10)*kph_knot</f>
        <v>81.33561643835618</v>
      </c>
      <c r="J22" s="71">
        <f t="shared" si="1"/>
        <v>30.513763904511936</v>
      </c>
      <c r="K22" s="72">
        <f t="shared" si="1"/>
        <v>30.513763904511936</v>
      </c>
      <c r="L22" s="72">
        <f t="shared" si="1"/>
        <v>30.513763904511936</v>
      </c>
      <c r="M22" s="72">
        <f t="shared" si="1"/>
        <v>30.513763904511936</v>
      </c>
      <c r="N22" s="72">
        <f t="shared" si="1"/>
        <v>30.513763904511936</v>
      </c>
      <c r="O22" s="73">
        <f t="shared" si="1"/>
        <v>30.513763904511936</v>
      </c>
    </row>
    <row r="23" spans="2:15" ht="12.75">
      <c r="B23" s="66">
        <f>PolarCalcs!$F21</f>
        <v>53.961182483768475</v>
      </c>
      <c r="C23" s="66">
        <f>PolarCalcs!$K21</f>
        <v>-1.76</v>
      </c>
      <c r="D23" s="71">
        <f>$B23/(1+(($C$7*(D$10+VminSink))+PolarCalcs!$K21)/D$10)*kph_knot</f>
        <v>36.231884057971016</v>
      </c>
      <c r="E23" s="72">
        <f>$B23/(1+(($C$7*(E$10+VminSink))+PolarCalcs!$K21)/E$10)*kph_knot</f>
        <v>53.19148936170213</v>
      </c>
      <c r="F23" s="72">
        <f>$B23/(1+(($C$7*(F$10+VminSink))+PolarCalcs!$K21)/F$10)*kph_knot</f>
        <v>69.44444444444444</v>
      </c>
      <c r="G23" s="72">
        <f>$B23/(1+(($C$7*(G$10+VminSink))+PolarCalcs!$K21)/G$10)*kph_knot</f>
        <v>77.31958762886597</v>
      </c>
      <c r="H23" s="72">
        <f>$B23/(1+(($C$7*(H$10+VminSink))+PolarCalcs!$K21)/H$10)*kph_knot</f>
        <v>81.96721311475409</v>
      </c>
      <c r="I23" s="73">
        <f>$B23/(1+(($C$7*(I$10+VminSink))+PolarCalcs!$K21)/I$10)*kph_knot</f>
        <v>85.03401360544218</v>
      </c>
      <c r="J23" s="71">
        <f t="shared" si="1"/>
        <v>30.65976277486845</v>
      </c>
      <c r="K23" s="72">
        <f t="shared" si="1"/>
        <v>30.65976277486845</v>
      </c>
      <c r="L23" s="72">
        <f t="shared" si="1"/>
        <v>30.65976277486845</v>
      </c>
      <c r="M23" s="72">
        <f t="shared" si="1"/>
        <v>30.65976277486845</v>
      </c>
      <c r="N23" s="72">
        <f t="shared" si="1"/>
        <v>30.65976277486845</v>
      </c>
      <c r="O23" s="73">
        <f t="shared" si="1"/>
        <v>30.65976277486845</v>
      </c>
    </row>
    <row r="24" spans="2:15" ht="12.75">
      <c r="B24" s="66">
        <f>PolarCalcs!$F22</f>
        <v>56.6592416079569</v>
      </c>
      <c r="C24" s="66">
        <f>PolarCalcs!$K22</f>
        <v>-1.8849999999999998</v>
      </c>
      <c r="D24" s="71">
        <f>$B24/(1+(($C$7*(D$10+VminSink))+PolarCalcs!$K22)/D$10)*kph_knot</f>
        <v>36.39514731369151</v>
      </c>
      <c r="E24" s="72">
        <f>$B24/(1+(($C$7*(E$10+VminSink))+PolarCalcs!$K22)/E$10)*kph_knot</f>
        <v>54.054054054054056</v>
      </c>
      <c r="F24" s="72">
        <f>$B24/(1+(($C$7*(F$10+VminSink))+PolarCalcs!$K22)/F$10)*kph_knot</f>
        <v>71.3678844519966</v>
      </c>
      <c r="G24" s="72">
        <f>$B24/(1+(($C$7*(G$10+VminSink))+PolarCalcs!$K22)/G$10)*kph_knot</f>
        <v>79.89854153455929</v>
      </c>
      <c r="H24" s="72">
        <f>$B24/(1+(($C$7*(H$10+VminSink))+PolarCalcs!$K22)/H$10)*kph_knot</f>
        <v>84.97723823975721</v>
      </c>
      <c r="I24" s="73">
        <f>$B24/(1+(($C$7*(I$10+VminSink))+PolarCalcs!$K22)/I$10)*kph_knot</f>
        <v>88.34665544804376</v>
      </c>
      <c r="J24" s="71">
        <f t="shared" si="1"/>
        <v>30.057953107669448</v>
      </c>
      <c r="K24" s="72">
        <f t="shared" si="1"/>
        <v>30.057953107669448</v>
      </c>
      <c r="L24" s="72">
        <f t="shared" si="1"/>
        <v>30.057953107669448</v>
      </c>
      <c r="M24" s="72">
        <f t="shared" si="1"/>
        <v>30.057953107669448</v>
      </c>
      <c r="N24" s="72">
        <f t="shared" si="1"/>
        <v>30.057953107669448</v>
      </c>
      <c r="O24" s="73">
        <f t="shared" si="1"/>
        <v>30.057953107669448</v>
      </c>
    </row>
    <row r="25" spans="2:15" ht="12.75">
      <c r="B25" s="66">
        <f>PolarCalcs!$F23</f>
        <v>59.357300732145326</v>
      </c>
      <c r="C25" s="66">
        <f>PolarCalcs!$K23</f>
        <v>-2.01</v>
      </c>
      <c r="D25" s="71">
        <f>$B25/(1+(($C$7*(D$10+VminSink))+PolarCalcs!$K23)/D$10)*kph_knot</f>
        <v>36.54485049833887</v>
      </c>
      <c r="E25" s="72">
        <f>$B25/(1+(($C$7*(E$10+VminSink))+PolarCalcs!$K23)/E$10)*kph_knot</f>
        <v>54.862842892768086</v>
      </c>
      <c r="F25" s="72">
        <f>$B25/(1+(($C$7*(F$10+VminSink))+PolarCalcs!$K23)/F$10)*kph_knot</f>
        <v>73.21131447587355</v>
      </c>
      <c r="G25" s="72">
        <f>$B25/(1+(($C$7*(G$10+VminSink))+PolarCalcs!$K23)/G$10)*kph_knot</f>
        <v>82.39700374531836</v>
      </c>
      <c r="H25" s="72">
        <f>$B25/(1+(($C$7*(H$10+VminSink))+PolarCalcs!$K23)/H$10)*kph_knot</f>
        <v>87.91208791208791</v>
      </c>
      <c r="I25" s="73">
        <f>$B25/(1+(($C$7*(I$10+VminSink))+PolarCalcs!$K23)/I$10)*kph_knot</f>
        <v>91.5903413821815</v>
      </c>
      <c r="J25" s="71">
        <f t="shared" si="1"/>
        <v>29.530995389127032</v>
      </c>
      <c r="K25" s="72">
        <f t="shared" si="1"/>
        <v>29.530995389127032</v>
      </c>
      <c r="L25" s="72">
        <f t="shared" si="1"/>
        <v>29.530995389127032</v>
      </c>
      <c r="M25" s="72">
        <f t="shared" si="1"/>
        <v>29.530995389127032</v>
      </c>
      <c r="N25" s="72">
        <f t="shared" si="1"/>
        <v>29.530995389127032</v>
      </c>
      <c r="O25" s="73">
        <f t="shared" si="1"/>
        <v>29.530995389127032</v>
      </c>
    </row>
    <row r="26" spans="2:15" ht="12.75">
      <c r="B26" s="66">
        <f>PolarCalcs!$F24</f>
        <v>62.05535985633375</v>
      </c>
      <c r="C26" s="66">
        <f>PolarCalcs!$K24</f>
        <v>-2.1849999999999996</v>
      </c>
      <c r="D26" s="71">
        <f>$B26/(1+(($C$7*(D$10+VminSink))+PolarCalcs!$K24)/D$10)*kph_knot</f>
        <v>36.10675039246469</v>
      </c>
      <c r="E26" s="72">
        <f>$B26/(1+(($C$7*(E$10+VminSink))+PolarCalcs!$K24)/E$10)*kph_knot</f>
        <v>54.958183990442066</v>
      </c>
      <c r="F26" s="72">
        <f>$B26/(1+(($C$7*(F$10+VminSink))+PolarCalcs!$K24)/F$10)*kph_knot</f>
        <v>74.37348423605498</v>
      </c>
      <c r="G26" s="72">
        <f>$B26/(1+(($C$7*(G$10+VminSink))+PolarCalcs!$K24)/G$10)*kph_knot</f>
        <v>84.30054978619427</v>
      </c>
      <c r="H26" s="72">
        <f>$B26/(1+(($C$7*(H$10+VminSink))+PolarCalcs!$K24)/H$10)*kph_knot</f>
        <v>90.32891507118312</v>
      </c>
      <c r="I26" s="73">
        <f>$B26/(1+(($C$7*(I$10+VminSink))+PolarCalcs!$K24)/I$10)*kph_knot</f>
        <v>94.37833401723432</v>
      </c>
      <c r="J26" s="71">
        <f t="shared" si="1"/>
        <v>28.400622359878152</v>
      </c>
      <c r="K26" s="72">
        <f t="shared" si="1"/>
        <v>28.400622359878152</v>
      </c>
      <c r="L26" s="72">
        <f t="shared" si="1"/>
        <v>28.400622359878152</v>
      </c>
      <c r="M26" s="72">
        <f t="shared" si="1"/>
        <v>28.400622359878152</v>
      </c>
      <c r="N26" s="72">
        <f t="shared" si="1"/>
        <v>28.400622359878152</v>
      </c>
      <c r="O26" s="73">
        <f t="shared" si="1"/>
        <v>28.400622359878152</v>
      </c>
    </row>
    <row r="27" spans="2:15" ht="12.75">
      <c r="B27" s="66">
        <f>PolarCalcs!$F25</f>
        <v>64.75341898052217</v>
      </c>
      <c r="C27" s="66">
        <f>PolarCalcs!$K25</f>
        <v>-2.36</v>
      </c>
      <c r="D27" s="71">
        <f>$B27/(1+(($C$7*(D$10+VminSink))+PolarCalcs!$K25)/D$10)*kph_knot</f>
        <v>35.714285714285715</v>
      </c>
      <c r="E27" s="72">
        <f>$B27/(1+(($C$7*(E$10+VminSink))+PolarCalcs!$K25)/E$10)*kph_knot</f>
        <v>55.045871559633035</v>
      </c>
      <c r="F27" s="72">
        <f>$B27/(1+(($C$7*(F$10+VminSink))+PolarCalcs!$K25)/F$10)*kph_knot</f>
        <v>75.47169811320754</v>
      </c>
      <c r="G27" s="72">
        <f>$B27/(1+(($C$7*(G$10+VminSink))+PolarCalcs!$K25)/G$10)*kph_knot</f>
        <v>86.12440191387559</v>
      </c>
      <c r="H27" s="72">
        <f>$B27/(1+(($C$7*(H$10+VminSink))+PolarCalcs!$K25)/H$10)*kph_knot</f>
        <v>92.66409266409266</v>
      </c>
      <c r="I27" s="73">
        <f>$B27/(1+(($C$7*(I$10+VminSink))+PolarCalcs!$K25)/I$10)*kph_knot</f>
        <v>97.08737864077669</v>
      </c>
      <c r="J27" s="71">
        <f t="shared" si="1"/>
        <v>27.437889398526345</v>
      </c>
      <c r="K27" s="72">
        <f t="shared" si="1"/>
        <v>27.437889398526345</v>
      </c>
      <c r="L27" s="72">
        <f t="shared" si="1"/>
        <v>27.437889398526345</v>
      </c>
      <c r="M27" s="72">
        <f t="shared" si="1"/>
        <v>27.437889398526345</v>
      </c>
      <c r="N27" s="72">
        <f t="shared" si="1"/>
        <v>27.437889398526345</v>
      </c>
      <c r="O27" s="73">
        <f t="shared" si="1"/>
        <v>27.437889398526345</v>
      </c>
    </row>
    <row r="28" spans="2:15" ht="12.75">
      <c r="B28" s="66">
        <f>PolarCalcs!$F26</f>
        <v>67.4514781047106</v>
      </c>
      <c r="C28" s="66">
        <f>PolarCalcs!$K26</f>
        <v>-2.585</v>
      </c>
      <c r="D28" s="71">
        <f>$B28/(1+(($C$7*(D$10+VminSink))+PolarCalcs!$K26)/D$10)*kph_knot</f>
        <v>34.86750348675035</v>
      </c>
      <c r="E28" s="72">
        <f>$B28/(1+(($C$7*(E$10+VminSink))+PolarCalcs!$K26)/E$10)*kph_knot</f>
        <v>54.52562704471102</v>
      </c>
      <c r="F28" s="72">
        <f>$B28/(1+(($C$7*(F$10+VminSink))+PolarCalcs!$K26)/F$10)*kph_knot</f>
        <v>75.93014426727412</v>
      </c>
      <c r="G28" s="72">
        <f>$B28/(1+(($C$7*(G$10+VminSink))+PolarCalcs!$K26)/G$10)*kph_knot</f>
        <v>87.361677344205</v>
      </c>
      <c r="H28" s="72">
        <f>$B28/(1+(($C$7*(H$10+VminSink))+PolarCalcs!$K26)/H$10)*kph_knot</f>
        <v>94.4733112895607</v>
      </c>
      <c r="I28" s="73">
        <f>$B28/(1+(($C$7*(I$10+VminSink))+PolarCalcs!$K26)/I$10)*kph_knot</f>
        <v>99.32459276916967</v>
      </c>
      <c r="J28" s="71">
        <f t="shared" si="1"/>
        <v>26.093415127547622</v>
      </c>
      <c r="K28" s="72">
        <f t="shared" si="1"/>
        <v>26.093415127547622</v>
      </c>
      <c r="L28" s="72">
        <f t="shared" si="1"/>
        <v>26.093415127547622</v>
      </c>
      <c r="M28" s="72">
        <f t="shared" si="1"/>
        <v>26.093415127547622</v>
      </c>
      <c r="N28" s="72">
        <f t="shared" si="1"/>
        <v>26.093415127547622</v>
      </c>
      <c r="O28" s="73">
        <f t="shared" si="1"/>
        <v>26.093415127547622</v>
      </c>
    </row>
    <row r="29" spans="2:15" ht="12.75">
      <c r="B29" s="66">
        <f>PolarCalcs!$F27</f>
        <v>70.14953722889902</v>
      </c>
      <c r="C29" s="66">
        <f>PolarCalcs!$K27</f>
        <v>-2.81</v>
      </c>
      <c r="D29" s="71">
        <f>$B29/(1+(($C$7*(D$10+VminSink))+PolarCalcs!$K27)/D$10)*kph_knot</f>
        <v>34.120734908136484</v>
      </c>
      <c r="E29" s="72">
        <f>$B29/(1+(($C$7*(E$10+VminSink))+PolarCalcs!$K27)/E$10)*kph_knot</f>
        <v>54.05405405405405</v>
      </c>
      <c r="F29" s="72">
        <f>$B29/(1+(($C$7*(F$10+VminSink))+PolarCalcs!$K27)/F$10)*kph_knot</f>
        <v>76.35829662261379</v>
      </c>
      <c r="G29" s="72">
        <f>$B29/(1+(($C$7*(G$10+VminSink))+PolarCalcs!$K27)/G$10)*kph_knot</f>
        <v>88.53575482406357</v>
      </c>
      <c r="H29" s="72">
        <f>$B29/(1+(($C$7*(H$10+VminSink))+PolarCalcs!$K27)/H$10)*kph_knot</f>
        <v>96.20721554116558</v>
      </c>
      <c r="I29" s="73">
        <f>$B29/(1+(($C$7*(I$10+VminSink))+PolarCalcs!$K27)/I$10)*kph_knot</f>
        <v>101.48321623731458</v>
      </c>
      <c r="J29" s="71">
        <f t="shared" si="1"/>
        <v>24.96424812416335</v>
      </c>
      <c r="K29" s="72">
        <f t="shared" si="1"/>
        <v>24.96424812416335</v>
      </c>
      <c r="L29" s="72">
        <f t="shared" si="1"/>
        <v>24.96424812416335</v>
      </c>
      <c r="M29" s="72">
        <f t="shared" si="1"/>
        <v>24.96424812416335</v>
      </c>
      <c r="N29" s="72">
        <f t="shared" si="1"/>
        <v>24.96424812416335</v>
      </c>
      <c r="O29" s="73">
        <f t="shared" si="1"/>
        <v>24.96424812416335</v>
      </c>
    </row>
    <row r="30" spans="2:15" ht="12.75">
      <c r="B30" s="66">
        <f>PolarCalcs!$F28</f>
        <v>72.84759635308744</v>
      </c>
      <c r="C30" s="66">
        <f>PolarCalcs!$K28</f>
        <v>-3.075</v>
      </c>
      <c r="D30" s="71">
        <f>$B30/(1+(($C$7*(D$10+VminSink))+PolarCalcs!$K28)/D$10)*kph_knot</f>
        <v>33.12883435582822</v>
      </c>
      <c r="E30" s="72">
        <f>$B30/(1+(($C$7*(E$10+VminSink))+PolarCalcs!$K28)/E$10)*kph_knot</f>
        <v>53.20197044334975</v>
      </c>
      <c r="F30" s="72">
        <f>$B30/(1+(($C$7*(F$10+VminSink))+PolarCalcs!$K28)/F$10)*kph_knot</f>
        <v>76.3250883392226</v>
      </c>
      <c r="G30" s="72">
        <f>$B30/(1+(($C$7*(G$10+VminSink))+PolarCalcs!$K28)/G$10)*kph_knot</f>
        <v>89.25619834710741</v>
      </c>
      <c r="H30" s="72">
        <f>$B30/(1+(($C$7*(H$10+VminSink))+PolarCalcs!$K28)/H$10)*kph_knot</f>
        <v>97.51693002257336</v>
      </c>
      <c r="I30" s="73">
        <f>$B30/(1+(($C$7*(I$10+VminSink))+PolarCalcs!$K28)/I$10)*kph_knot</f>
        <v>103.25047801147225</v>
      </c>
      <c r="J30" s="71">
        <f t="shared" si="1"/>
        <v>23.6902752367764</v>
      </c>
      <c r="K30" s="72">
        <f t="shared" si="1"/>
        <v>23.6902752367764</v>
      </c>
      <c r="L30" s="72">
        <f t="shared" si="1"/>
        <v>23.6902752367764</v>
      </c>
      <c r="M30" s="72">
        <f t="shared" si="1"/>
        <v>23.6902752367764</v>
      </c>
      <c r="N30" s="72">
        <f t="shared" si="1"/>
        <v>23.6902752367764</v>
      </c>
      <c r="O30" s="73">
        <f t="shared" si="1"/>
        <v>23.6902752367764</v>
      </c>
    </row>
    <row r="31" spans="2:15" ht="12.75">
      <c r="B31" s="66">
        <f>PolarCalcs!$F29</f>
        <v>75.54565547727587</v>
      </c>
      <c r="C31" s="66">
        <f>PolarCalcs!$K29</f>
        <v>-3.34</v>
      </c>
      <c r="D31" s="71">
        <f>$B31/(1+(($C$7*(D$10+VminSink))+PolarCalcs!$K29)/D$10)*kph_knot</f>
        <v>32.25806451612904</v>
      </c>
      <c r="E31" s="72">
        <f>$B31/(1+(($C$7*(E$10+VminSink))+PolarCalcs!$K29)/E$10)*kph_knot</f>
        <v>52.434456928838955</v>
      </c>
      <c r="F31" s="72">
        <f>$B31/(1+(($C$7*(F$10+VminSink))+PolarCalcs!$K29)/F$10)*kph_knot</f>
        <v>76.29427792915531</v>
      </c>
      <c r="G31" s="72">
        <f>$B31/(1+(($C$7*(G$10+VminSink))+PolarCalcs!$K29)/G$10)*kph_knot</f>
        <v>89.93576017130621</v>
      </c>
      <c r="H31" s="72">
        <f>$B31/(1+(($C$7*(H$10+VminSink))+PolarCalcs!$K29)/H$10)*kph_knot</f>
        <v>98.76543209876543</v>
      </c>
      <c r="I31" s="73">
        <f>$B31/(1+(($C$7*(I$10+VminSink))+PolarCalcs!$K29)/I$10)*kph_knot</f>
        <v>104.94752623688156</v>
      </c>
      <c r="J31" s="71">
        <f aca="true" t="shared" si="2" ref="J31:O39">-$B31/($C31+$C$7*(J$10+VminSink))</f>
        <v>22.618459723735292</v>
      </c>
      <c r="K31" s="72">
        <f t="shared" si="2"/>
        <v>22.618459723735292</v>
      </c>
      <c r="L31" s="72">
        <f t="shared" si="2"/>
        <v>22.618459723735292</v>
      </c>
      <c r="M31" s="72">
        <f t="shared" si="2"/>
        <v>22.618459723735292</v>
      </c>
      <c r="N31" s="72">
        <f t="shared" si="2"/>
        <v>22.618459723735292</v>
      </c>
      <c r="O31" s="73">
        <f t="shared" si="2"/>
        <v>22.618459723735292</v>
      </c>
    </row>
    <row r="32" spans="2:15" ht="12.75">
      <c r="B32" s="66">
        <f>PolarCalcs!$F30</f>
        <v>78.24371460146429</v>
      </c>
      <c r="C32" s="66">
        <f>PolarCalcs!$K30</f>
        <v>-3.6550000000000002</v>
      </c>
      <c r="D32" s="71">
        <f>$B32/(1+(($C$7*(D$10+VminSink))+PolarCalcs!$K30)/D$10)*kph_knot</f>
        <v>31.14930182599355</v>
      </c>
      <c r="E32" s="72">
        <f>$B32/(1+(($C$7*(E$10+VminSink))+PolarCalcs!$K30)/E$10)*kph_knot</f>
        <v>51.28205128205128</v>
      </c>
      <c r="F32" s="72">
        <f>$B32/(1+(($C$7*(F$10+VminSink))+PolarCalcs!$K30)/F$10)*kph_knot</f>
        <v>75.76747224036578</v>
      </c>
      <c r="G32" s="72">
        <f>$B32/(1+(($C$7*(G$10+VminSink))+PolarCalcs!$K30)/G$10)*kph_knot</f>
        <v>90.10875194199895</v>
      </c>
      <c r="H32" s="72">
        <f>$B32/(1+(($C$7*(H$10+VminSink))+PolarCalcs!$K30)/H$10)*kph_knot</f>
        <v>99.52809952809952</v>
      </c>
      <c r="I32" s="73">
        <f>$B32/(1+(($C$7*(I$10+VminSink))+PolarCalcs!$K30)/I$10)*kph_knot</f>
        <v>106.18820944708898</v>
      </c>
      <c r="J32" s="71">
        <f t="shared" si="2"/>
        <v>21.407309056488177</v>
      </c>
      <c r="K32" s="72">
        <f t="shared" si="2"/>
        <v>21.407309056488177</v>
      </c>
      <c r="L32" s="72">
        <f t="shared" si="2"/>
        <v>21.407309056488177</v>
      </c>
      <c r="M32" s="72">
        <f t="shared" si="2"/>
        <v>21.407309056488177</v>
      </c>
      <c r="N32" s="72">
        <f t="shared" si="2"/>
        <v>21.407309056488177</v>
      </c>
      <c r="O32" s="73">
        <f t="shared" si="2"/>
        <v>21.407309056488177</v>
      </c>
    </row>
    <row r="33" spans="2:15" ht="12.75">
      <c r="B33" s="66">
        <f>PolarCalcs!$F31</f>
        <v>80.94177372565271</v>
      </c>
      <c r="C33" s="66">
        <f>PolarCalcs!$K31</f>
        <v>-3.97</v>
      </c>
      <c r="D33" s="71">
        <f>$B33/(1+(($C$7*(D$10+VminSink))+PolarCalcs!$K31)/D$10)*kph_knot</f>
        <v>30.181086519114682</v>
      </c>
      <c r="E33" s="72">
        <f>$B33/(1+(($C$7*(E$10+VminSink))+PolarCalcs!$K31)/E$10)*kph_knot</f>
        <v>50.251256281407024</v>
      </c>
      <c r="F33" s="72">
        <f>$B33/(1+(($C$7*(F$10+VminSink))+PolarCalcs!$K31)/F$10)*kph_knot</f>
        <v>75.28230865746549</v>
      </c>
      <c r="G33" s="72">
        <f>$B33/(1+(($C$7*(G$10+VminSink))+PolarCalcs!$K31)/G$10)*kph_knot</f>
        <v>90.27081243731193</v>
      </c>
      <c r="H33" s="72">
        <f>$B33/(1+(($C$7*(H$10+VminSink))+PolarCalcs!$K31)/H$10)*kph_knot</f>
        <v>100.25062656641603</v>
      </c>
      <c r="I33" s="73">
        <f>$B33/(1+(($C$7*(I$10+VminSink))+PolarCalcs!$K31)/I$10)*kph_knot</f>
        <v>107.3729420186113</v>
      </c>
      <c r="J33" s="71">
        <f t="shared" si="2"/>
        <v>20.38835610217952</v>
      </c>
      <c r="K33" s="72">
        <f t="shared" si="2"/>
        <v>20.38835610217952</v>
      </c>
      <c r="L33" s="72">
        <f t="shared" si="2"/>
        <v>20.38835610217952</v>
      </c>
      <c r="M33" s="72">
        <f t="shared" si="2"/>
        <v>20.38835610217952</v>
      </c>
      <c r="N33" s="72">
        <f t="shared" si="2"/>
        <v>20.38835610217952</v>
      </c>
      <c r="O33" s="73">
        <f t="shared" si="2"/>
        <v>20.38835610217952</v>
      </c>
    </row>
    <row r="34" spans="2:15" ht="12.75">
      <c r="B34" s="66">
        <f>PolarCalcs!$F32</f>
        <v>83.63983284984114</v>
      </c>
      <c r="C34" s="66">
        <f>PolarCalcs!$K32</f>
        <v>-4.335</v>
      </c>
      <c r="D34" s="71">
        <f>$B34/(1+(($C$7*(D$10+VminSink))+PolarCalcs!$K32)/D$10)*kph_knot</f>
        <v>29.053420805998126</v>
      </c>
      <c r="E34" s="72">
        <f>$B34/(1+(($C$7*(E$10+VminSink))+PolarCalcs!$K32)/E$10)*kph_knot</f>
        <v>48.9344909234412</v>
      </c>
      <c r="F34" s="72">
        <f>$B34/(1+(($C$7*(F$10+VminSink))+PolarCalcs!$K32)/F$10)*kph_knot</f>
        <v>74.38512297540491</v>
      </c>
      <c r="G34" s="72">
        <f>$B34/(1+(($C$7*(G$10+VminSink))+PolarCalcs!$K32)/G$10)*kph_knot</f>
        <v>89.9854862119013</v>
      </c>
      <c r="H34" s="72">
        <f>$B34/(1+(($C$7*(H$10+VminSink))+PolarCalcs!$K32)/H$10)*kph_knot</f>
        <v>100.52695581678151</v>
      </c>
      <c r="I34" s="73">
        <f>$B34/(1+(($C$7*(I$10+VminSink))+PolarCalcs!$K32)/I$10)*kph_knot</f>
        <v>108.12696198116498</v>
      </c>
      <c r="J34" s="71">
        <f t="shared" si="2"/>
        <v>19.29407908877535</v>
      </c>
      <c r="K34" s="72">
        <f t="shared" si="2"/>
        <v>19.29407908877535</v>
      </c>
      <c r="L34" s="72">
        <f t="shared" si="2"/>
        <v>19.29407908877535</v>
      </c>
      <c r="M34" s="72">
        <f t="shared" si="2"/>
        <v>19.29407908877535</v>
      </c>
      <c r="N34" s="72">
        <f t="shared" si="2"/>
        <v>19.29407908877535</v>
      </c>
      <c r="O34" s="73">
        <f t="shared" si="2"/>
        <v>19.29407908877535</v>
      </c>
    </row>
    <row r="35" spans="2:15" ht="12.75">
      <c r="B35" s="66">
        <f>PolarCalcs!$F33</f>
        <v>86.33789197402956</v>
      </c>
      <c r="C35" s="66">
        <f>PolarCalcs!$K33</f>
        <v>-4.7</v>
      </c>
      <c r="D35" s="71">
        <f>$B35/(1+(($C$7*(D$10+VminSink))+PolarCalcs!$K33)/D$10)*kph_knot</f>
        <v>28.070175438596486</v>
      </c>
      <c r="E35" s="72">
        <f>$B35/(1+(($C$7*(E$10+VminSink))+PolarCalcs!$K33)/E$10)*kph_knot</f>
        <v>47.76119402985074</v>
      </c>
      <c r="F35" s="72">
        <f>$B35/(1+(($C$7*(F$10+VminSink))+PolarCalcs!$K33)/F$10)*kph_knot</f>
        <v>73.56321839080461</v>
      </c>
      <c r="G35" s="72">
        <f>$B35/(1+(($C$7*(G$10+VminSink))+PolarCalcs!$K33)/G$10)*kph_knot</f>
        <v>89.71962616822431</v>
      </c>
      <c r="H35" s="72">
        <f>$B35/(1+(($C$7*(H$10+VminSink))+PolarCalcs!$K33)/H$10)*kph_knot</f>
        <v>100.78740157480314</v>
      </c>
      <c r="I35" s="73">
        <f>$B35/(1+(($C$7*(I$10+VminSink))+PolarCalcs!$K33)/I$10)*kph_knot</f>
        <v>108.84353741496598</v>
      </c>
      <c r="J35" s="71">
        <f t="shared" si="2"/>
        <v>18.369764249793523</v>
      </c>
      <c r="K35" s="72">
        <f t="shared" si="2"/>
        <v>18.369764249793523</v>
      </c>
      <c r="L35" s="72">
        <f t="shared" si="2"/>
        <v>18.369764249793523</v>
      </c>
      <c r="M35" s="72">
        <f t="shared" si="2"/>
        <v>18.369764249793523</v>
      </c>
      <c r="N35" s="72">
        <f t="shared" si="2"/>
        <v>18.369764249793523</v>
      </c>
      <c r="O35" s="73">
        <f t="shared" si="2"/>
        <v>18.369764249793523</v>
      </c>
    </row>
    <row r="36" spans="2:15" ht="12.75">
      <c r="B36" s="66">
        <f>PolarCalcs!$F34</f>
        <v>89.03595109821799</v>
      </c>
      <c r="C36" s="66">
        <f>PolarCalcs!$K34</f>
        <v>-5.105</v>
      </c>
      <c r="D36" s="71">
        <f>$B36/(1+(($C$7*(D$10+VminSink))+PolarCalcs!$K34)/D$10)*kph_knot</f>
        <v>27.027027027027028</v>
      </c>
      <c r="E36" s="72">
        <f>$B36/(1+(($C$7*(E$10+VminSink))+PolarCalcs!$K34)/E$10)*kph_knot</f>
        <v>46.446164672765654</v>
      </c>
      <c r="F36" s="72">
        <f>$B36/(1+(($C$7*(F$10+VminSink))+PolarCalcs!$K34)/F$10)*kph_knot</f>
        <v>72.48764415156508</v>
      </c>
      <c r="G36" s="72">
        <f>$B36/(1+(($C$7*(G$10+VminSink))+PolarCalcs!$K34)/G$10)*kph_knot</f>
        <v>89.14903196758216</v>
      </c>
      <c r="H36" s="72">
        <f>$B36/(1+(($C$7*(H$10+VminSink))+PolarCalcs!$K34)/H$10)*kph_knot</f>
        <v>100.7249141549027</v>
      </c>
      <c r="I36" s="73">
        <f>$B36/(1+(($C$7*(I$10+VminSink))+PolarCalcs!$K34)/I$10)*kph_knot</f>
        <v>109.23535253227409</v>
      </c>
      <c r="J36" s="71">
        <f t="shared" si="2"/>
        <v>17.440930675458958</v>
      </c>
      <c r="K36" s="72">
        <f t="shared" si="2"/>
        <v>17.440930675458958</v>
      </c>
      <c r="L36" s="72">
        <f t="shared" si="2"/>
        <v>17.440930675458958</v>
      </c>
      <c r="M36" s="72">
        <f t="shared" si="2"/>
        <v>17.440930675458958</v>
      </c>
      <c r="N36" s="72">
        <f t="shared" si="2"/>
        <v>17.440930675458958</v>
      </c>
      <c r="O36" s="73">
        <f t="shared" si="2"/>
        <v>17.440930675458958</v>
      </c>
    </row>
    <row r="37" spans="2:15" ht="12.75">
      <c r="B37" s="66">
        <f>PolarCalcs!$F35</f>
        <v>91.73401022240641</v>
      </c>
      <c r="C37" s="66">
        <f>PolarCalcs!$K35</f>
        <v>-5.51</v>
      </c>
      <c r="D37" s="71">
        <f>$B37/(1+(($C$7*(D$10+VminSink))+PolarCalcs!$K35)/D$10)*kph_knot</f>
        <v>26.113671274961597</v>
      </c>
      <c r="E37" s="72">
        <f>$B37/(1+(($C$7*(E$10+VminSink))+PolarCalcs!$K35)/E$10)*kph_knot</f>
        <v>45.27296937416778</v>
      </c>
      <c r="F37" s="72">
        <f>$B37/(1+(($C$7*(F$10+VminSink))+PolarCalcs!$K35)/F$10)*kph_knot</f>
        <v>71.5036803364879</v>
      </c>
      <c r="G37" s="72">
        <f>$B37/(1+(($C$7*(G$10+VminSink))+PolarCalcs!$K35)/G$10)*kph_knot</f>
        <v>88.61859252823632</v>
      </c>
      <c r="H37" s="72">
        <f>$B37/(1+(($C$7*(H$10+VminSink))+PolarCalcs!$K35)/H$10)*kph_knot</f>
        <v>100.66617320503332</v>
      </c>
      <c r="I37" s="73">
        <f>$B37/(1+(($C$7*(I$10+VminSink))+PolarCalcs!$K35)/I$10)*kph_knot</f>
        <v>109.6067053513862</v>
      </c>
      <c r="J37" s="71">
        <f t="shared" si="2"/>
        <v>16.64864069372167</v>
      </c>
      <c r="K37" s="72">
        <f t="shared" si="2"/>
        <v>16.64864069372167</v>
      </c>
      <c r="L37" s="72">
        <f t="shared" si="2"/>
        <v>16.64864069372167</v>
      </c>
      <c r="M37" s="72">
        <f t="shared" si="2"/>
        <v>16.64864069372167</v>
      </c>
      <c r="N37" s="72">
        <f t="shared" si="2"/>
        <v>16.64864069372167</v>
      </c>
      <c r="O37" s="73">
        <f t="shared" si="2"/>
        <v>16.64864069372167</v>
      </c>
    </row>
    <row r="38" spans="2:15" ht="12.75">
      <c r="B38" s="66">
        <f>PolarCalcs!$F36</f>
        <v>94.43206934659483</v>
      </c>
      <c r="C38" s="66">
        <f>PolarCalcs!$K36</f>
        <v>-5.965</v>
      </c>
      <c r="D38" s="71">
        <f>$B38/(1+(($C$7*(D$10+VminSink))+PolarCalcs!$K36)/D$10)*kph_knot</f>
        <v>25.12562814070352</v>
      </c>
      <c r="E38" s="72">
        <f>$B38/(1+(($C$7*(E$10+VminSink))+PolarCalcs!$K36)/E$10)*kph_knot</f>
        <v>43.942247332077834</v>
      </c>
      <c r="F38" s="72">
        <f>$B38/(1+(($C$7*(F$10+VminSink))+PolarCalcs!$K36)/F$10)*kph_knot</f>
        <v>70.24586051179126</v>
      </c>
      <c r="G38" s="72">
        <f>$B38/(1+(($C$7*(G$10+VminSink))+PolarCalcs!$K36)/G$10)*kph_knot</f>
        <v>87.75595486836606</v>
      </c>
      <c r="H38" s="72">
        <f>$B38/(1+(($C$7*(H$10+VminSink))+PolarCalcs!$K36)/H$10)*kph_knot</f>
        <v>100.25062656641605</v>
      </c>
      <c r="I38" s="73">
        <f>$B38/(1+(($C$7*(I$10+VminSink))+PolarCalcs!$K36)/I$10)*kph_knot</f>
        <v>109.61478233636078</v>
      </c>
      <c r="J38" s="71">
        <f t="shared" si="2"/>
        <v>15.831025875372143</v>
      </c>
      <c r="K38" s="72">
        <f t="shared" si="2"/>
        <v>15.831025875372143</v>
      </c>
      <c r="L38" s="72">
        <f t="shared" si="2"/>
        <v>15.831025875372143</v>
      </c>
      <c r="M38" s="72">
        <f t="shared" si="2"/>
        <v>15.831025875372143</v>
      </c>
      <c r="N38" s="72">
        <f t="shared" si="2"/>
        <v>15.831025875372143</v>
      </c>
      <c r="O38" s="73">
        <f t="shared" si="2"/>
        <v>15.831025875372143</v>
      </c>
    </row>
    <row r="39" spans="2:15" ht="12.75">
      <c r="B39" s="67">
        <f>PolarCalcs!$F37</f>
        <v>97.13012847078326</v>
      </c>
      <c r="C39" s="67">
        <f>PolarCalcs!$K37</f>
        <v>-6.42</v>
      </c>
      <c r="D39" s="74">
        <f>$B39/(1+(($C$7*(D$10+VminSink))+PolarCalcs!$K37)/D$10)*kph_knot</f>
        <v>24.258760107816713</v>
      </c>
      <c r="E39" s="75">
        <f>$B39/(1+(($C$7*(E$10+VminSink))+PolarCalcs!$K37)/E$10)*kph_knot</f>
        <v>42.75534441805225</v>
      </c>
      <c r="F39" s="75">
        <f>$B39/(1+(($C$7*(F$10+VminSink))+PolarCalcs!$K37)/F$10)*kph_knot</f>
        <v>69.0978886756238</v>
      </c>
      <c r="G39" s="75">
        <f>$B39/(1+(($C$7*(G$10+VminSink))+PolarCalcs!$K37)/G$10)*kph_knot</f>
        <v>86.95652173913042</v>
      </c>
      <c r="H39" s="75">
        <f>$B39/(1+(($C$7*(H$10+VminSink))+PolarCalcs!$K37)/H$10)*kph_knot</f>
        <v>99.86130374479889</v>
      </c>
      <c r="I39" s="76">
        <f>$B39/(1+(($C$7*(I$10+VminSink))+PolarCalcs!$K37)/I$10)*kph_knot</f>
        <v>109.62241169305726</v>
      </c>
      <c r="J39" s="74">
        <f t="shared" si="2"/>
        <v>15.129303500122004</v>
      </c>
      <c r="K39" s="75">
        <f t="shared" si="2"/>
        <v>15.129303500122004</v>
      </c>
      <c r="L39" s="75">
        <f t="shared" si="2"/>
        <v>15.129303500122004</v>
      </c>
      <c r="M39" s="75">
        <f t="shared" si="2"/>
        <v>15.129303500122004</v>
      </c>
      <c r="N39" s="75">
        <f t="shared" si="2"/>
        <v>15.129303500122004</v>
      </c>
      <c r="O39" s="76">
        <f t="shared" si="2"/>
        <v>15.129303500122004</v>
      </c>
    </row>
    <row r="40" spans="2:15" ht="12.75">
      <c r="B40" s="1"/>
      <c r="C40" s="38" t="s">
        <v>318</v>
      </c>
      <c r="D40" s="77" t="e">
        <f aca="true" t="shared" si="3" ref="D40:O40">MAX(D15:D39)</f>
        <v>#N/A</v>
      </c>
      <c r="E40" s="78" t="e">
        <f t="shared" si="3"/>
        <v>#N/A</v>
      </c>
      <c r="F40" s="78" t="e">
        <f t="shared" si="3"/>
        <v>#N/A</v>
      </c>
      <c r="G40" s="78" t="e">
        <f t="shared" si="3"/>
        <v>#N/A</v>
      </c>
      <c r="H40" s="78" t="e">
        <f t="shared" si="3"/>
        <v>#N/A</v>
      </c>
      <c r="I40" s="79" t="e">
        <f t="shared" si="3"/>
        <v>#N/A</v>
      </c>
      <c r="J40" s="77" t="e">
        <f t="shared" si="3"/>
        <v>#N/A</v>
      </c>
      <c r="K40" s="78" t="e">
        <f t="shared" si="3"/>
        <v>#N/A</v>
      </c>
      <c r="L40" s="78" t="e">
        <f t="shared" si="3"/>
        <v>#N/A</v>
      </c>
      <c r="M40" s="78" t="e">
        <f t="shared" si="3"/>
        <v>#N/A</v>
      </c>
      <c r="N40" s="78" t="e">
        <f t="shared" si="3"/>
        <v>#N/A</v>
      </c>
      <c r="O40" s="79" t="e">
        <f t="shared" si="3"/>
        <v>#N/A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7" customWidth="1"/>
    <col min="2" max="2" width="4.25390625" style="7" customWidth="1"/>
    <col min="3" max="3" width="4.125" style="7" customWidth="1"/>
    <col min="4" max="4" width="3.375" style="7" customWidth="1"/>
    <col min="5" max="13" width="5.75390625" style="7" customWidth="1"/>
    <col min="14" max="28" width="5.75390625" style="0" customWidth="1"/>
    <col min="29" max="16384" width="11.375" style="0" customWidth="1"/>
  </cols>
  <sheetData>
    <row r="1" spans="1:9" ht="18">
      <c r="A1" s="32" t="s">
        <v>319</v>
      </c>
      <c r="I1" s="53" t="s">
        <v>320</v>
      </c>
    </row>
    <row r="2" ht="12.75">
      <c r="I2" s="52"/>
    </row>
    <row r="4" spans="1:13" ht="12.75">
      <c r="A4" s="15"/>
      <c r="B4" s="15"/>
      <c r="C4" s="15"/>
      <c r="D4" s="8" t="s">
        <v>321</v>
      </c>
      <c r="E4" s="10"/>
      <c r="F4" s="11"/>
      <c r="G4" s="11"/>
      <c r="H4" s="11"/>
      <c r="I4" s="11"/>
      <c r="J4" s="11"/>
      <c r="K4" s="11"/>
      <c r="L4" s="11"/>
      <c r="M4" s="12"/>
    </row>
    <row r="5" spans="1:13" ht="12.75">
      <c r="A5" s="16" t="s">
        <v>322</v>
      </c>
      <c r="B5" s="16" t="s">
        <v>323</v>
      </c>
      <c r="C5" s="16" t="s">
        <v>273</v>
      </c>
      <c r="D5" s="8" t="s">
        <v>324</v>
      </c>
      <c r="E5" s="13" t="s">
        <v>325</v>
      </c>
      <c r="F5" s="9"/>
      <c r="G5" s="9"/>
      <c r="H5" s="9"/>
      <c r="I5" s="9" t="s">
        <v>326</v>
      </c>
      <c r="J5" s="9"/>
      <c r="K5" s="9"/>
      <c r="L5" s="9"/>
      <c r="M5" s="14" t="s">
        <v>327</v>
      </c>
    </row>
    <row r="6" spans="1:13" ht="12.75">
      <c r="A6" s="17" t="s">
        <v>79</v>
      </c>
      <c r="B6" s="17" t="s">
        <v>79</v>
      </c>
      <c r="C6" s="17" t="s">
        <v>79</v>
      </c>
      <c r="D6" s="8" t="s">
        <v>328</v>
      </c>
      <c r="E6" s="8">
        <v>-40</v>
      </c>
      <c r="F6" s="8">
        <v>-30</v>
      </c>
      <c r="G6" s="8">
        <v>-20</v>
      </c>
      <c r="H6" s="8">
        <v>-10</v>
      </c>
      <c r="I6" s="8">
        <v>0</v>
      </c>
      <c r="J6" s="8">
        <v>10</v>
      </c>
      <c r="K6" s="8">
        <v>20</v>
      </c>
      <c r="L6" s="8">
        <v>30</v>
      </c>
      <c r="M6" s="8">
        <v>40</v>
      </c>
    </row>
    <row r="7" spans="1:13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12.75">
      <c r="A8" s="15">
        <v>0</v>
      </c>
      <c r="B8" s="24">
        <f>SQRT((kc+kWm-A8)/ka)</f>
        <v>52.27232240104294</v>
      </c>
      <c r="C8" s="21">
        <f>-1*(ka*B8*B8+kb*B8+kc)</f>
        <v>1.6980231976021836</v>
      </c>
      <c r="D8" s="27"/>
      <c r="E8" s="24">
        <f>$B8+E$6</f>
        <v>12.272322401042942</v>
      </c>
      <c r="F8" s="24">
        <f aca="true" t="shared" si="0" ref="F8:M20">$B8+F$6</f>
        <v>22.272322401042942</v>
      </c>
      <c r="G8" s="24">
        <f t="shared" si="0"/>
        <v>32.27232240104294</v>
      </c>
      <c r="H8" s="24">
        <f t="shared" si="0"/>
        <v>42.27232240104294</v>
      </c>
      <c r="I8" s="24">
        <f t="shared" si="0"/>
        <v>52.27232240104294</v>
      </c>
      <c r="J8" s="24">
        <f t="shared" si="0"/>
        <v>62.27232240104294</v>
      </c>
      <c r="K8" s="24">
        <f t="shared" si="0"/>
        <v>72.27232240104294</v>
      </c>
      <c r="L8" s="24">
        <f t="shared" si="0"/>
        <v>82.27232240104294</v>
      </c>
      <c r="M8" s="24">
        <f t="shared" si="0"/>
        <v>92.27232240104294</v>
      </c>
    </row>
    <row r="9" spans="1:13" ht="12.75">
      <c r="A9" s="16">
        <v>1</v>
      </c>
      <c r="B9" s="25">
        <f aca="true" t="shared" si="1" ref="B9:B20">SQRT((kc+kWm-A9)/ka)</f>
        <v>57.84329208287131</v>
      </c>
      <c r="C9" s="22">
        <f aca="true" t="shared" si="2" ref="C9:C20">-1*(ka*B9*B9+kb*B9+kc)</f>
        <v>1.9295835487735271</v>
      </c>
      <c r="D9" s="28"/>
      <c r="E9" s="25">
        <f aca="true" t="shared" si="3" ref="E9:E20">$B9+E$6</f>
        <v>17.843292082871308</v>
      </c>
      <c r="F9" s="25">
        <f t="shared" si="0"/>
        <v>27.843292082871308</v>
      </c>
      <c r="G9" s="25">
        <f t="shared" si="0"/>
        <v>37.84329208287131</v>
      </c>
      <c r="H9" s="25">
        <f t="shared" si="0"/>
        <v>47.84329208287131</v>
      </c>
      <c r="I9" s="25">
        <f t="shared" si="0"/>
        <v>57.84329208287131</v>
      </c>
      <c r="J9" s="25">
        <f t="shared" si="0"/>
        <v>67.8432920828713</v>
      </c>
      <c r="K9" s="25">
        <f t="shared" si="0"/>
        <v>77.8432920828713</v>
      </c>
      <c r="L9" s="25">
        <f t="shared" si="0"/>
        <v>87.8432920828713</v>
      </c>
      <c r="M9" s="25">
        <f t="shared" si="0"/>
        <v>97.8432920828713</v>
      </c>
    </row>
    <row r="10" spans="1:13" ht="12.75">
      <c r="A10" s="16">
        <v>2</v>
      </c>
      <c r="B10" s="25">
        <f t="shared" si="1"/>
        <v>62.922946440628074</v>
      </c>
      <c r="C10" s="22">
        <f t="shared" si="2"/>
        <v>2.228914179924172</v>
      </c>
      <c r="D10" s="28"/>
      <c r="E10" s="25">
        <f t="shared" si="3"/>
        <v>22.922946440628074</v>
      </c>
      <c r="F10" s="25">
        <f t="shared" si="0"/>
        <v>32.922946440628074</v>
      </c>
      <c r="G10" s="25">
        <f t="shared" si="0"/>
        <v>42.922946440628074</v>
      </c>
      <c r="H10" s="25">
        <f t="shared" si="0"/>
        <v>52.922946440628074</v>
      </c>
      <c r="I10" s="25">
        <f t="shared" si="0"/>
        <v>62.922946440628074</v>
      </c>
      <c r="J10" s="25">
        <f t="shared" si="0"/>
        <v>72.92294644062807</v>
      </c>
      <c r="K10" s="25">
        <f t="shared" si="0"/>
        <v>82.92294644062807</v>
      </c>
      <c r="L10" s="25">
        <f t="shared" si="0"/>
        <v>92.92294644062807</v>
      </c>
      <c r="M10" s="25">
        <f t="shared" si="0"/>
        <v>102.92294644062807</v>
      </c>
    </row>
    <row r="11" spans="1:13" ht="12.75">
      <c r="A11" s="16">
        <v>3</v>
      </c>
      <c r="B11" s="25">
        <f t="shared" si="1"/>
        <v>67.62209652588373</v>
      </c>
      <c r="C11" s="22">
        <f t="shared" si="2"/>
        <v>2.580730210608099</v>
      </c>
      <c r="D11" s="28"/>
      <c r="E11" s="25">
        <f t="shared" si="3"/>
        <v>27.622096525883734</v>
      </c>
      <c r="F11" s="25">
        <f t="shared" si="0"/>
        <v>37.622096525883734</v>
      </c>
      <c r="G11" s="25">
        <f t="shared" si="0"/>
        <v>47.622096525883734</v>
      </c>
      <c r="H11" s="25">
        <f t="shared" si="0"/>
        <v>57.622096525883734</v>
      </c>
      <c r="I11" s="25">
        <f t="shared" si="0"/>
        <v>67.62209652588373</v>
      </c>
      <c r="J11" s="25">
        <f t="shared" si="0"/>
        <v>77.62209652588373</v>
      </c>
      <c r="K11" s="25">
        <f t="shared" si="0"/>
        <v>87.62209652588373</v>
      </c>
      <c r="L11" s="25">
        <f t="shared" si="0"/>
        <v>97.62209652588373</v>
      </c>
      <c r="M11" s="25">
        <f t="shared" si="0"/>
        <v>107.62209652588373</v>
      </c>
    </row>
    <row r="12" spans="1:13" ht="12.75">
      <c r="A12" s="16">
        <v>4</v>
      </c>
      <c r="B12" s="25">
        <f t="shared" si="1"/>
        <v>72.015267050409</v>
      </c>
      <c r="C12" s="22">
        <f t="shared" si="2"/>
        <v>2.974751968414065</v>
      </c>
      <c r="D12"/>
      <c r="E12" s="25">
        <f t="shared" si="3"/>
        <v>32.015267050408994</v>
      </c>
      <c r="F12" s="25">
        <f t="shared" si="0"/>
        <v>42.015267050408994</v>
      </c>
      <c r="G12" s="25">
        <f t="shared" si="0"/>
        <v>52.015267050408994</v>
      </c>
      <c r="H12" s="25">
        <f t="shared" si="0"/>
        <v>62.015267050408994</v>
      </c>
      <c r="I12" s="25">
        <f t="shared" si="0"/>
        <v>72.015267050409</v>
      </c>
      <c r="J12" s="25">
        <f t="shared" si="0"/>
        <v>82.015267050409</v>
      </c>
      <c r="K12" s="25">
        <f t="shared" si="0"/>
        <v>92.015267050409</v>
      </c>
      <c r="L12" s="25">
        <f t="shared" si="0"/>
        <v>102.015267050409</v>
      </c>
      <c r="M12" s="25">
        <f t="shared" si="0"/>
        <v>112.015267050409</v>
      </c>
    </row>
    <row r="13" spans="1:13" ht="12.75">
      <c r="A13" s="16">
        <v>5</v>
      </c>
      <c r="B13" s="25">
        <f t="shared" si="1"/>
        <v>76.15542947241195</v>
      </c>
      <c r="C13" s="22">
        <f t="shared" si="2"/>
        <v>3.4036727597019834</v>
      </c>
      <c r="D13" s="9"/>
      <c r="E13" s="25">
        <f t="shared" si="3"/>
        <v>36.15542947241195</v>
      </c>
      <c r="F13" s="25">
        <f t="shared" si="0"/>
        <v>46.15542947241195</v>
      </c>
      <c r="G13" s="25">
        <f t="shared" si="0"/>
        <v>56.15542947241195</v>
      </c>
      <c r="H13" s="25">
        <f t="shared" si="0"/>
        <v>66.15542947241195</v>
      </c>
      <c r="I13" s="25">
        <f t="shared" si="0"/>
        <v>76.15542947241195</v>
      </c>
      <c r="J13" s="25">
        <f t="shared" si="0"/>
        <v>86.15542947241195</v>
      </c>
      <c r="K13" s="25">
        <f t="shared" si="0"/>
        <v>96.15542947241195</v>
      </c>
      <c r="L13" s="25">
        <f t="shared" si="0"/>
        <v>106.15542947241195</v>
      </c>
      <c r="M13" s="25">
        <f t="shared" si="0"/>
        <v>116.15542947241195</v>
      </c>
    </row>
    <row r="14" spans="1:13" ht="12.75">
      <c r="A14" s="16">
        <v>6</v>
      </c>
      <c r="B14" s="25">
        <f t="shared" si="1"/>
        <v>80.08183431910946</v>
      </c>
      <c r="C14" s="22">
        <f t="shared" si="2"/>
        <v>3.8620785070179267</v>
      </c>
      <c r="D14" s="9" t="s">
        <v>321</v>
      </c>
      <c r="E14" s="25">
        <f t="shared" si="3"/>
        <v>40.08183431910946</v>
      </c>
      <c r="F14" s="25">
        <f t="shared" si="0"/>
        <v>50.08183431910946</v>
      </c>
      <c r="G14" s="25">
        <f t="shared" si="0"/>
        <v>60.08183431910946</v>
      </c>
      <c r="H14" s="25">
        <f t="shared" si="0"/>
        <v>70.08183431910946</v>
      </c>
      <c r="I14" s="25">
        <f t="shared" si="0"/>
        <v>80.08183431910946</v>
      </c>
      <c r="J14" s="25">
        <f t="shared" si="0"/>
        <v>90.08183431910946</v>
      </c>
      <c r="K14" s="25">
        <f t="shared" si="0"/>
        <v>100.08183431910946</v>
      </c>
      <c r="L14" s="25">
        <f t="shared" si="0"/>
        <v>110.08183431910946</v>
      </c>
      <c r="M14" s="25">
        <f t="shared" si="0"/>
        <v>120.08183431910946</v>
      </c>
    </row>
    <row r="15" spans="1:13" ht="12.75">
      <c r="A15" s="16">
        <v>7</v>
      </c>
      <c r="B15" s="25">
        <f t="shared" si="1"/>
        <v>83.82452467923147</v>
      </c>
      <c r="C15" s="22">
        <f t="shared" si="2"/>
        <v>4.345825174068059</v>
      </c>
      <c r="D15" s="28"/>
      <c r="E15" s="25">
        <f t="shared" si="3"/>
        <v>43.82452467923147</v>
      </c>
      <c r="F15" s="25">
        <f t="shared" si="0"/>
        <v>53.82452467923147</v>
      </c>
      <c r="G15" s="25">
        <f t="shared" si="0"/>
        <v>63.82452467923147</v>
      </c>
      <c r="H15" s="25">
        <f t="shared" si="0"/>
        <v>73.82452467923147</v>
      </c>
      <c r="I15" s="25">
        <f t="shared" si="0"/>
        <v>83.82452467923147</v>
      </c>
      <c r="J15" s="25">
        <f t="shared" si="0"/>
        <v>93.82452467923147</v>
      </c>
      <c r="K15" s="25">
        <f t="shared" si="0"/>
        <v>103.82452467923147</v>
      </c>
      <c r="L15" s="25">
        <f t="shared" si="0"/>
        <v>113.82452467923147</v>
      </c>
      <c r="M15" s="25">
        <f t="shared" si="0"/>
        <v>123.82452467923147</v>
      </c>
    </row>
    <row r="16" spans="1:13" ht="12.75">
      <c r="A16" s="16">
        <v>8</v>
      </c>
      <c r="B16" s="25">
        <f t="shared" si="1"/>
        <v>87.40710318666827</v>
      </c>
      <c r="C16" s="22">
        <f t="shared" si="2"/>
        <v>4.851657097882747</v>
      </c>
      <c r="D16" s="28"/>
      <c r="E16" s="25">
        <f t="shared" si="3"/>
        <v>47.407103186668266</v>
      </c>
      <c r="F16" s="25">
        <f t="shared" si="0"/>
        <v>57.407103186668266</v>
      </c>
      <c r="G16" s="25">
        <f t="shared" si="0"/>
        <v>67.40710318666827</v>
      </c>
      <c r="H16" s="25">
        <f t="shared" si="0"/>
        <v>77.40710318666827</v>
      </c>
      <c r="I16" s="25">
        <f t="shared" si="0"/>
        <v>87.40710318666827</v>
      </c>
      <c r="J16" s="25">
        <f t="shared" si="0"/>
        <v>97.40710318666827</v>
      </c>
      <c r="K16" s="25">
        <f t="shared" si="0"/>
        <v>107.40710318666827</v>
      </c>
      <c r="L16" s="25">
        <f t="shared" si="0"/>
        <v>117.40710318666827</v>
      </c>
      <c r="M16" s="25">
        <f t="shared" si="0"/>
        <v>127.40710318666827</v>
      </c>
    </row>
    <row r="17" spans="1:13" ht="12.75">
      <c r="A17" s="16">
        <v>9</v>
      </c>
      <c r="B17" s="25">
        <f t="shared" si="1"/>
        <v>90.84851367672815</v>
      </c>
      <c r="C17" s="22">
        <f t="shared" si="2"/>
        <v>5.376961233519516</v>
      </c>
      <c r="D17" s="28"/>
      <c r="E17" s="25">
        <f t="shared" si="3"/>
        <v>50.848513676728146</v>
      </c>
      <c r="F17" s="25">
        <f t="shared" si="0"/>
        <v>60.848513676728146</v>
      </c>
      <c r="G17" s="25">
        <f t="shared" si="0"/>
        <v>70.84851367672815</v>
      </c>
      <c r="H17" s="25">
        <f t="shared" si="0"/>
        <v>80.84851367672815</v>
      </c>
      <c r="I17" s="25">
        <f t="shared" si="0"/>
        <v>90.84851367672815</v>
      </c>
      <c r="J17" s="25">
        <f t="shared" si="0"/>
        <v>100.84851367672815</v>
      </c>
      <c r="K17" s="25">
        <f t="shared" si="0"/>
        <v>110.84851367672815</v>
      </c>
      <c r="L17" s="25">
        <f t="shared" si="0"/>
        <v>120.84851367672815</v>
      </c>
      <c r="M17" s="25">
        <f t="shared" si="0"/>
        <v>130.84851367672815</v>
      </c>
    </row>
    <row r="18" spans="1:13" ht="12.75">
      <c r="A18" s="16">
        <v>10</v>
      </c>
      <c r="B18" s="25">
        <f t="shared" si="1"/>
        <v>94.16423518011733</v>
      </c>
      <c r="C18" s="22">
        <f t="shared" si="2"/>
        <v>5.91960245880046</v>
      </c>
      <c r="D18" s="28"/>
      <c r="E18" s="25">
        <f t="shared" si="3"/>
        <v>54.16423518011733</v>
      </c>
      <c r="F18" s="25">
        <f t="shared" si="0"/>
        <v>64.16423518011733</v>
      </c>
      <c r="G18" s="25">
        <f t="shared" si="0"/>
        <v>74.16423518011733</v>
      </c>
      <c r="H18" s="25">
        <f t="shared" si="0"/>
        <v>84.16423518011733</v>
      </c>
      <c r="I18" s="25">
        <f t="shared" si="0"/>
        <v>94.16423518011733</v>
      </c>
      <c r="J18" s="25">
        <f t="shared" si="0"/>
        <v>104.16423518011733</v>
      </c>
      <c r="K18" s="25">
        <f t="shared" si="0"/>
        <v>114.16423518011733</v>
      </c>
      <c r="L18" s="25">
        <f t="shared" si="0"/>
        <v>124.16423518011733</v>
      </c>
      <c r="M18" s="25">
        <f t="shared" si="0"/>
        <v>134.16423518011732</v>
      </c>
    </row>
    <row r="19" spans="1:13" ht="12.75">
      <c r="A19" s="16">
        <v>11</v>
      </c>
      <c r="B19" s="25">
        <f t="shared" si="1"/>
        <v>97.36710911207251</v>
      </c>
      <c r="C19" s="22">
        <f t="shared" si="2"/>
        <v>6.477809474799454</v>
      </c>
      <c r="D19" s="28"/>
      <c r="E19" s="25">
        <f t="shared" si="3"/>
        <v>57.36710911207251</v>
      </c>
      <c r="F19" s="25">
        <f t="shared" si="0"/>
        <v>67.36710911207251</v>
      </c>
      <c r="G19" s="25">
        <f t="shared" si="0"/>
        <v>77.36710911207251</v>
      </c>
      <c r="H19" s="25">
        <f t="shared" si="0"/>
        <v>87.36710911207251</v>
      </c>
      <c r="I19" s="25">
        <f t="shared" si="0"/>
        <v>97.36710911207251</v>
      </c>
      <c r="J19" s="25">
        <f t="shared" si="0"/>
        <v>107.36710911207251</v>
      </c>
      <c r="K19" s="25">
        <f t="shared" si="0"/>
        <v>117.36710911207251</v>
      </c>
      <c r="L19" s="25">
        <f t="shared" si="0"/>
        <v>127.36710911207251</v>
      </c>
      <c r="M19" s="25">
        <f t="shared" si="0"/>
        <v>137.3671091120725</v>
      </c>
    </row>
    <row r="20" spans="1:13" ht="12.75">
      <c r="A20" s="17">
        <v>12</v>
      </c>
      <c r="B20" s="26">
        <f t="shared" si="1"/>
        <v>100.46792864704646</v>
      </c>
      <c r="C20" s="23">
        <f t="shared" si="2"/>
        <v>7.050093509604251</v>
      </c>
      <c r="D20" s="29"/>
      <c r="E20" s="26">
        <f t="shared" si="3"/>
        <v>60.46792864704646</v>
      </c>
      <c r="F20" s="26">
        <f t="shared" si="0"/>
        <v>70.46792864704646</v>
      </c>
      <c r="G20" s="26">
        <f t="shared" si="0"/>
        <v>80.46792864704646</v>
      </c>
      <c r="H20" s="26">
        <f t="shared" si="0"/>
        <v>90.46792864704646</v>
      </c>
      <c r="I20" s="26">
        <f t="shared" si="0"/>
        <v>100.46792864704646</v>
      </c>
      <c r="J20" s="26">
        <f t="shared" si="0"/>
        <v>110.46792864704646</v>
      </c>
      <c r="K20" s="26">
        <f t="shared" si="0"/>
        <v>120.46792864704646</v>
      </c>
      <c r="L20" s="26">
        <f t="shared" si="0"/>
        <v>130.46792864704645</v>
      </c>
      <c r="M20" s="26">
        <f t="shared" si="0"/>
        <v>140.46792864704645</v>
      </c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2.75">
      <c r="A22" s="15">
        <f aca="true" t="shared" si="4" ref="A22:C34">A8</f>
        <v>0</v>
      </c>
      <c r="B22" s="15">
        <f t="shared" si="4"/>
        <v>52.27232240104294</v>
      </c>
      <c r="C22" s="15">
        <f t="shared" si="4"/>
        <v>1.6980231976021836</v>
      </c>
      <c r="D22" s="27"/>
      <c r="E22" s="25">
        <f>ROUND(50000*$C8/($B8+E$6)*ft_m,-2)</f>
        <v>22700</v>
      </c>
      <c r="F22" s="25">
        <f>ROUND(50000*$C8/($B8+F$6)*ft_m,-2)</f>
        <v>12500</v>
      </c>
      <c r="G22" s="25">
        <f aca="true" t="shared" si="5" ref="F22:M34">ROUND(50000*$C8/($B8+G$6)*ft_m,-2)</f>
        <v>8600</v>
      </c>
      <c r="H22" s="25">
        <f t="shared" si="5"/>
        <v>6600</v>
      </c>
      <c r="I22" s="25">
        <f t="shared" si="5"/>
        <v>5300</v>
      </c>
      <c r="J22" s="25">
        <f t="shared" si="5"/>
        <v>4500</v>
      </c>
      <c r="K22" s="25">
        <f t="shared" si="5"/>
        <v>3900</v>
      </c>
      <c r="L22" s="25">
        <f t="shared" si="5"/>
        <v>3400</v>
      </c>
      <c r="M22" s="25">
        <f t="shared" si="5"/>
        <v>3000</v>
      </c>
    </row>
    <row r="23" spans="1:13" ht="12.75">
      <c r="A23" s="16">
        <f t="shared" si="4"/>
        <v>1</v>
      </c>
      <c r="B23" s="16">
        <f t="shared" si="4"/>
        <v>57.84329208287131</v>
      </c>
      <c r="C23" s="16">
        <f t="shared" si="4"/>
        <v>1.9295835487735271</v>
      </c>
      <c r="D23" s="28"/>
      <c r="E23" s="25">
        <f aca="true" t="shared" si="6" ref="E23:E34">ROUND(50000*$C9/($B9+E$6)*ft_m,-2)</f>
        <v>17700</v>
      </c>
      <c r="F23" s="25">
        <f t="shared" si="5"/>
        <v>11400</v>
      </c>
      <c r="G23" s="25">
        <f t="shared" si="5"/>
        <v>8400</v>
      </c>
      <c r="H23" s="25">
        <f t="shared" si="5"/>
        <v>6600</v>
      </c>
      <c r="I23" s="25">
        <f t="shared" si="5"/>
        <v>5500</v>
      </c>
      <c r="J23" s="25">
        <f t="shared" si="5"/>
        <v>4700</v>
      </c>
      <c r="K23" s="25">
        <f t="shared" si="5"/>
        <v>4100</v>
      </c>
      <c r="L23" s="25">
        <f t="shared" si="5"/>
        <v>3600</v>
      </c>
      <c r="M23" s="25">
        <f t="shared" si="5"/>
        <v>3200</v>
      </c>
    </row>
    <row r="24" spans="1:13" ht="12.75">
      <c r="A24" s="16">
        <f t="shared" si="4"/>
        <v>2</v>
      </c>
      <c r="B24" s="16">
        <f t="shared" si="4"/>
        <v>62.922946440628074</v>
      </c>
      <c r="C24" s="16">
        <f t="shared" si="4"/>
        <v>2.228914179924172</v>
      </c>
      <c r="D24" s="28"/>
      <c r="E24" s="25">
        <f t="shared" si="6"/>
        <v>16000</v>
      </c>
      <c r="F24" s="25">
        <f t="shared" si="5"/>
        <v>11100</v>
      </c>
      <c r="G24" s="25">
        <f t="shared" si="5"/>
        <v>8500</v>
      </c>
      <c r="H24" s="25">
        <f t="shared" si="5"/>
        <v>6900</v>
      </c>
      <c r="I24" s="25">
        <f t="shared" si="5"/>
        <v>5800</v>
      </c>
      <c r="J24" s="25">
        <f t="shared" si="5"/>
        <v>5000</v>
      </c>
      <c r="K24" s="25">
        <f t="shared" si="5"/>
        <v>4400</v>
      </c>
      <c r="L24" s="25">
        <f t="shared" si="5"/>
        <v>3900</v>
      </c>
      <c r="M24" s="25">
        <f t="shared" si="5"/>
        <v>3600</v>
      </c>
    </row>
    <row r="25" spans="1:13" ht="12.75">
      <c r="A25" s="16">
        <f t="shared" si="4"/>
        <v>3</v>
      </c>
      <c r="B25" s="16">
        <f t="shared" si="4"/>
        <v>67.62209652588373</v>
      </c>
      <c r="C25" s="16">
        <f t="shared" si="4"/>
        <v>2.580730210608099</v>
      </c>
      <c r="D25" s="28"/>
      <c r="E25" s="25">
        <f t="shared" si="6"/>
        <v>15300</v>
      </c>
      <c r="F25" s="25">
        <f t="shared" si="5"/>
        <v>11300</v>
      </c>
      <c r="G25" s="25">
        <f t="shared" si="5"/>
        <v>8900</v>
      </c>
      <c r="H25" s="25">
        <f t="shared" si="5"/>
        <v>7300</v>
      </c>
      <c r="I25" s="25">
        <f t="shared" si="5"/>
        <v>6300</v>
      </c>
      <c r="J25" s="25">
        <f t="shared" si="5"/>
        <v>5500</v>
      </c>
      <c r="K25" s="25">
        <f t="shared" si="5"/>
        <v>4800</v>
      </c>
      <c r="L25" s="25">
        <f t="shared" si="5"/>
        <v>4300</v>
      </c>
      <c r="M25" s="25">
        <f t="shared" si="5"/>
        <v>3900</v>
      </c>
    </row>
    <row r="26" spans="1:13" ht="12.75">
      <c r="A26" s="16">
        <f t="shared" si="4"/>
        <v>4</v>
      </c>
      <c r="B26" s="16">
        <f t="shared" si="4"/>
        <v>72.015267050409</v>
      </c>
      <c r="C26" s="16">
        <f t="shared" si="4"/>
        <v>2.974751968414065</v>
      </c>
      <c r="D26" s="9" t="s">
        <v>328</v>
      </c>
      <c r="E26" s="25">
        <f t="shared" si="6"/>
        <v>15200</v>
      </c>
      <c r="F26" s="25">
        <f t="shared" si="5"/>
        <v>11600</v>
      </c>
      <c r="G26" s="25">
        <f t="shared" si="5"/>
        <v>9400</v>
      </c>
      <c r="H26" s="25">
        <f t="shared" si="5"/>
        <v>7900</v>
      </c>
      <c r="I26" s="25">
        <f t="shared" si="5"/>
        <v>6800</v>
      </c>
      <c r="J26" s="25">
        <f t="shared" si="5"/>
        <v>5900</v>
      </c>
      <c r="K26" s="25">
        <f t="shared" si="5"/>
        <v>5300</v>
      </c>
      <c r="L26" s="25">
        <f t="shared" si="5"/>
        <v>4800</v>
      </c>
      <c r="M26" s="25">
        <f t="shared" si="5"/>
        <v>4400</v>
      </c>
    </row>
    <row r="27" spans="1:13" ht="12.75">
      <c r="A27" s="16">
        <f t="shared" si="4"/>
        <v>5</v>
      </c>
      <c r="B27" s="16">
        <f t="shared" si="4"/>
        <v>76.15542947241195</v>
      </c>
      <c r="C27" s="16">
        <f t="shared" si="4"/>
        <v>3.4036727597019834</v>
      </c>
      <c r="D27" s="9"/>
      <c r="E27" s="25">
        <f t="shared" si="6"/>
        <v>15400</v>
      </c>
      <c r="F27" s="25">
        <f t="shared" si="5"/>
        <v>12100</v>
      </c>
      <c r="G27" s="25">
        <f t="shared" si="5"/>
        <v>9900</v>
      </c>
      <c r="H27" s="25">
        <f t="shared" si="5"/>
        <v>8400</v>
      </c>
      <c r="I27" s="25">
        <f t="shared" si="5"/>
        <v>7300</v>
      </c>
      <c r="J27" s="25">
        <f t="shared" si="5"/>
        <v>6500</v>
      </c>
      <c r="K27" s="25">
        <f t="shared" si="5"/>
        <v>5800</v>
      </c>
      <c r="L27" s="25">
        <f t="shared" si="5"/>
        <v>5300</v>
      </c>
      <c r="M27" s="25">
        <f t="shared" si="5"/>
        <v>4800</v>
      </c>
    </row>
    <row r="28" spans="1:13" ht="12.75">
      <c r="A28" s="16">
        <f t="shared" si="4"/>
        <v>6</v>
      </c>
      <c r="B28" s="16">
        <f t="shared" si="4"/>
        <v>80.08183431910946</v>
      </c>
      <c r="C28" s="16">
        <f t="shared" si="4"/>
        <v>3.8620785070179267</v>
      </c>
      <c r="D28" s="28"/>
      <c r="E28" s="25">
        <f t="shared" si="6"/>
        <v>15800</v>
      </c>
      <c r="F28" s="25">
        <f t="shared" si="5"/>
        <v>12700</v>
      </c>
      <c r="G28" s="25">
        <f t="shared" si="5"/>
        <v>10500</v>
      </c>
      <c r="H28" s="25">
        <f t="shared" si="5"/>
        <v>9000</v>
      </c>
      <c r="I28" s="25">
        <f t="shared" si="5"/>
        <v>7900</v>
      </c>
      <c r="J28" s="25">
        <f t="shared" si="5"/>
        <v>7000</v>
      </c>
      <c r="K28" s="25">
        <f t="shared" si="5"/>
        <v>6300</v>
      </c>
      <c r="L28" s="25">
        <f t="shared" si="5"/>
        <v>5800</v>
      </c>
      <c r="M28" s="25">
        <f t="shared" si="5"/>
        <v>5300</v>
      </c>
    </row>
    <row r="29" spans="1:13" ht="12.75">
      <c r="A29" s="16">
        <f t="shared" si="4"/>
        <v>7</v>
      </c>
      <c r="B29" s="16">
        <f t="shared" si="4"/>
        <v>83.82452467923147</v>
      </c>
      <c r="C29" s="16">
        <f t="shared" si="4"/>
        <v>4.345825174068059</v>
      </c>
      <c r="D29" s="28"/>
      <c r="E29" s="25">
        <f t="shared" si="6"/>
        <v>16300</v>
      </c>
      <c r="F29" s="25">
        <f t="shared" si="5"/>
        <v>13200</v>
      </c>
      <c r="G29" s="25">
        <f t="shared" si="5"/>
        <v>11200</v>
      </c>
      <c r="H29" s="25">
        <f t="shared" si="5"/>
        <v>9700</v>
      </c>
      <c r="I29" s="25">
        <f t="shared" si="5"/>
        <v>8500</v>
      </c>
      <c r="J29" s="25">
        <f t="shared" si="5"/>
        <v>7600</v>
      </c>
      <c r="K29" s="25">
        <f t="shared" si="5"/>
        <v>6900</v>
      </c>
      <c r="L29" s="25">
        <f t="shared" si="5"/>
        <v>6300</v>
      </c>
      <c r="M29" s="25">
        <f t="shared" si="5"/>
        <v>5800</v>
      </c>
    </row>
    <row r="30" spans="1:13" ht="12.75">
      <c r="A30" s="16">
        <f t="shared" si="4"/>
        <v>8</v>
      </c>
      <c r="B30" s="16">
        <f t="shared" si="4"/>
        <v>87.40710318666827</v>
      </c>
      <c r="C30" s="16">
        <f t="shared" si="4"/>
        <v>4.851657097882747</v>
      </c>
      <c r="D30" s="28"/>
      <c r="E30" s="25">
        <f t="shared" si="6"/>
        <v>16800</v>
      </c>
      <c r="F30" s="25">
        <f t="shared" si="5"/>
        <v>13900</v>
      </c>
      <c r="G30" s="25">
        <f t="shared" si="5"/>
        <v>11800</v>
      </c>
      <c r="H30" s="25">
        <f t="shared" si="5"/>
        <v>10300</v>
      </c>
      <c r="I30" s="25">
        <f t="shared" si="5"/>
        <v>9100</v>
      </c>
      <c r="J30" s="25">
        <f t="shared" si="5"/>
        <v>8200</v>
      </c>
      <c r="K30" s="25">
        <f t="shared" si="5"/>
        <v>7400</v>
      </c>
      <c r="L30" s="25">
        <f t="shared" si="5"/>
        <v>6800</v>
      </c>
      <c r="M30" s="25">
        <f t="shared" si="5"/>
        <v>6200</v>
      </c>
    </row>
    <row r="31" spans="1:13" ht="12.75">
      <c r="A31" s="16">
        <f t="shared" si="4"/>
        <v>9</v>
      </c>
      <c r="B31" s="16">
        <f t="shared" si="4"/>
        <v>90.84851367672815</v>
      </c>
      <c r="C31" s="16">
        <f t="shared" si="4"/>
        <v>5.376961233519516</v>
      </c>
      <c r="D31" s="28"/>
      <c r="E31" s="25">
        <f t="shared" si="6"/>
        <v>17300</v>
      </c>
      <c r="F31" s="25">
        <f t="shared" si="5"/>
        <v>14500</v>
      </c>
      <c r="G31" s="25">
        <f t="shared" si="5"/>
        <v>12400</v>
      </c>
      <c r="H31" s="25">
        <f t="shared" si="5"/>
        <v>10900</v>
      </c>
      <c r="I31" s="25">
        <f t="shared" si="5"/>
        <v>9700</v>
      </c>
      <c r="J31" s="25">
        <f t="shared" si="5"/>
        <v>8700</v>
      </c>
      <c r="K31" s="25">
        <f t="shared" si="5"/>
        <v>8000</v>
      </c>
      <c r="L31" s="25">
        <f t="shared" si="5"/>
        <v>7300</v>
      </c>
      <c r="M31" s="25">
        <f t="shared" si="5"/>
        <v>6700</v>
      </c>
    </row>
    <row r="32" spans="1:13" ht="12.75">
      <c r="A32" s="16">
        <f t="shared" si="4"/>
        <v>10</v>
      </c>
      <c r="B32" s="16">
        <f t="shared" si="4"/>
        <v>94.16423518011733</v>
      </c>
      <c r="C32" s="16">
        <f t="shared" si="4"/>
        <v>5.91960245880046</v>
      </c>
      <c r="D32" s="28"/>
      <c r="E32" s="25">
        <f t="shared" si="6"/>
        <v>17900</v>
      </c>
      <c r="F32" s="25">
        <f t="shared" si="5"/>
        <v>15100</v>
      </c>
      <c r="G32" s="25">
        <f t="shared" si="5"/>
        <v>13100</v>
      </c>
      <c r="H32" s="25">
        <f t="shared" si="5"/>
        <v>11500</v>
      </c>
      <c r="I32" s="25">
        <f t="shared" si="5"/>
        <v>10300</v>
      </c>
      <c r="J32" s="25">
        <f t="shared" si="5"/>
        <v>9300</v>
      </c>
      <c r="K32" s="25">
        <f t="shared" si="5"/>
        <v>8500</v>
      </c>
      <c r="L32" s="25">
        <f t="shared" si="5"/>
        <v>7800</v>
      </c>
      <c r="M32" s="25">
        <f t="shared" si="5"/>
        <v>7200</v>
      </c>
    </row>
    <row r="33" spans="1:13" ht="12.75">
      <c r="A33" s="16">
        <f t="shared" si="4"/>
        <v>11</v>
      </c>
      <c r="B33" s="16">
        <f t="shared" si="4"/>
        <v>97.36710911207251</v>
      </c>
      <c r="C33" s="16">
        <f t="shared" si="4"/>
        <v>6.477809474799454</v>
      </c>
      <c r="D33" s="28"/>
      <c r="E33" s="25">
        <f t="shared" si="6"/>
        <v>18500</v>
      </c>
      <c r="F33" s="25">
        <f t="shared" si="5"/>
        <v>15800</v>
      </c>
      <c r="G33" s="25">
        <f t="shared" si="5"/>
        <v>13700</v>
      </c>
      <c r="H33" s="25">
        <f t="shared" si="5"/>
        <v>12200</v>
      </c>
      <c r="I33" s="25">
        <f t="shared" si="5"/>
        <v>10900</v>
      </c>
      <c r="J33" s="25">
        <f t="shared" si="5"/>
        <v>9900</v>
      </c>
      <c r="K33" s="25">
        <f t="shared" si="5"/>
        <v>9100</v>
      </c>
      <c r="L33" s="25">
        <f t="shared" si="5"/>
        <v>8300</v>
      </c>
      <c r="M33" s="25">
        <f t="shared" si="5"/>
        <v>7700</v>
      </c>
    </row>
    <row r="34" spans="1:13" ht="12.75">
      <c r="A34" s="17">
        <f t="shared" si="4"/>
        <v>12</v>
      </c>
      <c r="B34" s="17">
        <f t="shared" si="4"/>
        <v>100.46792864704646</v>
      </c>
      <c r="C34" s="17">
        <f t="shared" si="4"/>
        <v>7.050093509604251</v>
      </c>
      <c r="D34" s="29"/>
      <c r="E34" s="25">
        <f t="shared" si="6"/>
        <v>19100</v>
      </c>
      <c r="F34" s="25">
        <f t="shared" si="5"/>
        <v>16400</v>
      </c>
      <c r="G34" s="25">
        <f t="shared" si="5"/>
        <v>14400</v>
      </c>
      <c r="H34" s="25">
        <f t="shared" si="5"/>
        <v>12800</v>
      </c>
      <c r="I34" s="25">
        <f t="shared" si="5"/>
        <v>11500</v>
      </c>
      <c r="J34" s="25">
        <f t="shared" si="5"/>
        <v>10500</v>
      </c>
      <c r="K34" s="25">
        <f t="shared" si="5"/>
        <v>9600</v>
      </c>
      <c r="L34" s="25">
        <f t="shared" si="5"/>
        <v>8900</v>
      </c>
      <c r="M34" s="25">
        <f t="shared" si="5"/>
        <v>8200</v>
      </c>
    </row>
    <row r="35" spans="1:13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ht="12.75">
      <c r="A36" s="15">
        <f aca="true" t="shared" si="7" ref="A36:C48">A22</f>
        <v>0</v>
      </c>
      <c r="B36" s="15">
        <f t="shared" si="7"/>
        <v>52.27232240104294</v>
      </c>
      <c r="C36" s="15">
        <f t="shared" si="7"/>
        <v>1.6980231976021836</v>
      </c>
      <c r="D36" s="27"/>
      <c r="E36" s="21">
        <f aca="true" t="shared" si="8" ref="E36:M48">($B8+E$6)/$C8</f>
        <v>7.227417398285819</v>
      </c>
      <c r="F36" s="21">
        <f t="shared" si="8"/>
        <v>13.116618449320471</v>
      </c>
      <c r="G36" s="21">
        <f t="shared" si="8"/>
        <v>19.005819500355123</v>
      </c>
      <c r="H36" s="21">
        <f t="shared" si="8"/>
        <v>24.895020551389777</v>
      </c>
      <c r="I36" s="21">
        <f t="shared" si="8"/>
        <v>30.784221602424427</v>
      </c>
      <c r="J36" s="21">
        <f t="shared" si="8"/>
        <v>36.67342265345908</v>
      </c>
      <c r="K36" s="21">
        <f t="shared" si="8"/>
        <v>42.56262370449373</v>
      </c>
      <c r="L36" s="21">
        <f t="shared" si="8"/>
        <v>48.451824755528385</v>
      </c>
      <c r="M36" s="21">
        <f t="shared" si="8"/>
        <v>54.34102580656304</v>
      </c>
    </row>
    <row r="37" spans="1:13" ht="12.75">
      <c r="A37" s="16">
        <f t="shared" si="7"/>
        <v>1</v>
      </c>
      <c r="B37" s="16">
        <f t="shared" si="7"/>
        <v>57.84329208287131</v>
      </c>
      <c r="C37" s="16">
        <f t="shared" si="7"/>
        <v>1.9295835487735271</v>
      </c>
      <c r="D37" s="28"/>
      <c r="E37" s="22">
        <f t="shared" si="8"/>
        <v>9.247224404567907</v>
      </c>
      <c r="F37" s="22">
        <f t="shared" si="8"/>
        <v>14.429689816006636</v>
      </c>
      <c r="G37" s="22">
        <f t="shared" si="8"/>
        <v>19.612155227445363</v>
      </c>
      <c r="H37" s="22">
        <f t="shared" si="8"/>
        <v>24.794620638884094</v>
      </c>
      <c r="I37" s="22">
        <f t="shared" si="8"/>
        <v>29.97708605032282</v>
      </c>
      <c r="J37" s="22">
        <f t="shared" si="8"/>
        <v>35.159551461761545</v>
      </c>
      <c r="K37" s="22">
        <f t="shared" si="8"/>
        <v>40.34201687320028</v>
      </c>
      <c r="L37" s="22">
        <f t="shared" si="8"/>
        <v>45.52448228463901</v>
      </c>
      <c r="M37" s="22">
        <f t="shared" si="8"/>
        <v>50.706947696077734</v>
      </c>
    </row>
    <row r="38" spans="1:13" ht="12.75">
      <c r="A38" s="16">
        <f t="shared" si="7"/>
        <v>2</v>
      </c>
      <c r="B38" s="16">
        <f t="shared" si="7"/>
        <v>62.922946440628074</v>
      </c>
      <c r="C38" s="16">
        <f t="shared" si="7"/>
        <v>2.228914179924172</v>
      </c>
      <c r="D38" s="28"/>
      <c r="E38" s="22">
        <f t="shared" si="8"/>
        <v>10.284355785025296</v>
      </c>
      <c r="F38" s="22">
        <f t="shared" si="8"/>
        <v>14.770845256028707</v>
      </c>
      <c r="G38" s="22">
        <f t="shared" si="8"/>
        <v>19.25733472703212</v>
      </c>
      <c r="H38" s="22">
        <f t="shared" si="8"/>
        <v>23.74382419803553</v>
      </c>
      <c r="I38" s="22">
        <f t="shared" si="8"/>
        <v>28.23031366903894</v>
      </c>
      <c r="J38" s="22">
        <f t="shared" si="8"/>
        <v>32.716803140042344</v>
      </c>
      <c r="K38" s="22">
        <f t="shared" si="8"/>
        <v>37.20329261104576</v>
      </c>
      <c r="L38" s="22">
        <f t="shared" si="8"/>
        <v>41.68978208204917</v>
      </c>
      <c r="M38" s="22">
        <f t="shared" si="8"/>
        <v>46.17627155305258</v>
      </c>
    </row>
    <row r="39" spans="1:13" ht="12.75">
      <c r="A39" s="16">
        <f t="shared" si="7"/>
        <v>3</v>
      </c>
      <c r="B39" s="16">
        <f t="shared" si="7"/>
        <v>67.62209652588373</v>
      </c>
      <c r="C39" s="16">
        <f t="shared" si="7"/>
        <v>2.580730210608099</v>
      </c>
      <c r="D39" s="28"/>
      <c r="E39" s="22">
        <f t="shared" si="8"/>
        <v>10.703209662266527</v>
      </c>
      <c r="F39" s="22">
        <f t="shared" si="8"/>
        <v>14.57808195960895</v>
      </c>
      <c r="G39" s="22">
        <f t="shared" si="8"/>
        <v>18.452954256951372</v>
      </c>
      <c r="H39" s="22">
        <f t="shared" si="8"/>
        <v>22.327826554293797</v>
      </c>
      <c r="I39" s="22">
        <f t="shared" si="8"/>
        <v>26.20269885163622</v>
      </c>
      <c r="J39" s="22">
        <f t="shared" si="8"/>
        <v>30.07757114897864</v>
      </c>
      <c r="K39" s="22">
        <f t="shared" si="8"/>
        <v>33.95244344632107</v>
      </c>
      <c r="L39" s="22">
        <f t="shared" si="8"/>
        <v>37.82731574366349</v>
      </c>
      <c r="M39" s="22">
        <f t="shared" si="8"/>
        <v>41.70218804100591</v>
      </c>
    </row>
    <row r="40" spans="1:13" ht="12.75">
      <c r="A40" s="16">
        <f t="shared" si="7"/>
        <v>4</v>
      </c>
      <c r="B40" s="16">
        <f t="shared" si="7"/>
        <v>72.015267050409</v>
      </c>
      <c r="C40" s="16">
        <f t="shared" si="7"/>
        <v>2.974751968414065</v>
      </c>
      <c r="D40" s="9" t="s">
        <v>324</v>
      </c>
      <c r="E40" s="22">
        <f t="shared" si="8"/>
        <v>10.76233157935428</v>
      </c>
      <c r="F40" s="22">
        <f t="shared" si="8"/>
        <v>14.123956382423598</v>
      </c>
      <c r="G40" s="22">
        <f t="shared" si="8"/>
        <v>17.48558118549292</v>
      </c>
      <c r="H40" s="22">
        <f t="shared" si="8"/>
        <v>20.847205988562237</v>
      </c>
      <c r="I40" s="22">
        <f t="shared" si="8"/>
        <v>24.208830791631556</v>
      </c>
      <c r="J40" s="22">
        <f t="shared" si="8"/>
        <v>27.570455594700874</v>
      </c>
      <c r="K40" s="22">
        <f t="shared" si="8"/>
        <v>30.932080397770193</v>
      </c>
      <c r="L40" s="22">
        <f t="shared" si="8"/>
        <v>34.29370520083951</v>
      </c>
      <c r="M40" s="22">
        <f t="shared" si="8"/>
        <v>37.65533000390883</v>
      </c>
    </row>
    <row r="41" spans="1:13" ht="12.75">
      <c r="A41" s="16">
        <f t="shared" si="7"/>
        <v>5</v>
      </c>
      <c r="B41" s="16">
        <f t="shared" si="7"/>
        <v>76.15542947241195</v>
      </c>
      <c r="C41" s="16">
        <f t="shared" si="7"/>
        <v>3.4036727597019834</v>
      </c>
      <c r="D41" s="9"/>
      <c r="E41" s="22">
        <f t="shared" si="8"/>
        <v>10.622475198108535</v>
      </c>
      <c r="F41" s="22">
        <f t="shared" si="8"/>
        <v>13.56047796923145</v>
      </c>
      <c r="G41" s="22">
        <f t="shared" si="8"/>
        <v>16.498480740354363</v>
      </c>
      <c r="H41" s="22">
        <f t="shared" si="8"/>
        <v>19.436483511477274</v>
      </c>
      <c r="I41" s="22">
        <f t="shared" si="8"/>
        <v>22.374486282600188</v>
      </c>
      <c r="J41" s="22">
        <f t="shared" si="8"/>
        <v>25.3124890537231</v>
      </c>
      <c r="K41" s="22">
        <f t="shared" si="8"/>
        <v>28.250491824846016</v>
      </c>
      <c r="L41" s="22">
        <f t="shared" si="8"/>
        <v>31.188494595968926</v>
      </c>
      <c r="M41" s="22">
        <f t="shared" si="8"/>
        <v>34.126497367091844</v>
      </c>
    </row>
    <row r="42" spans="1:13" ht="12.75">
      <c r="A42" s="16">
        <f t="shared" si="7"/>
        <v>6</v>
      </c>
      <c r="B42" s="16">
        <f t="shared" si="7"/>
        <v>80.08183431910946</v>
      </c>
      <c r="C42" s="16">
        <f t="shared" si="7"/>
        <v>3.8620785070179267</v>
      </c>
      <c r="D42" s="28"/>
      <c r="E42" s="22">
        <f t="shared" si="8"/>
        <v>10.378306460180772</v>
      </c>
      <c r="F42" s="22">
        <f t="shared" si="8"/>
        <v>12.967585777478085</v>
      </c>
      <c r="G42" s="22">
        <f t="shared" si="8"/>
        <v>15.556865094775397</v>
      </c>
      <c r="H42" s="22">
        <f t="shared" si="8"/>
        <v>18.146144412072708</v>
      </c>
      <c r="I42" s="22">
        <f t="shared" si="8"/>
        <v>20.735423729370023</v>
      </c>
      <c r="J42" s="22">
        <f t="shared" si="8"/>
        <v>23.324703046667334</v>
      </c>
      <c r="K42" s="22">
        <f t="shared" si="8"/>
        <v>25.913982363964646</v>
      </c>
      <c r="L42" s="22">
        <f t="shared" si="8"/>
        <v>28.503261681261957</v>
      </c>
      <c r="M42" s="22">
        <f t="shared" si="8"/>
        <v>31.09254099855927</v>
      </c>
    </row>
    <row r="43" spans="1:13" ht="12.75">
      <c r="A43" s="16">
        <f t="shared" si="7"/>
        <v>7</v>
      </c>
      <c r="B43" s="16">
        <f t="shared" si="7"/>
        <v>83.82452467923147</v>
      </c>
      <c r="C43" s="16">
        <f t="shared" si="7"/>
        <v>4.345825174068059</v>
      </c>
      <c r="D43" s="28"/>
      <c r="E43" s="22">
        <f t="shared" si="8"/>
        <v>10.084281563081843</v>
      </c>
      <c r="F43" s="22">
        <f t="shared" si="8"/>
        <v>12.38534053334851</v>
      </c>
      <c r="G43" s="22">
        <f t="shared" si="8"/>
        <v>14.686399503615174</v>
      </c>
      <c r="H43" s="22">
        <f t="shared" si="8"/>
        <v>16.98745847388184</v>
      </c>
      <c r="I43" s="22">
        <f t="shared" si="8"/>
        <v>19.288517444148507</v>
      </c>
      <c r="J43" s="22">
        <f t="shared" si="8"/>
        <v>21.58957641441517</v>
      </c>
      <c r="K43" s="22">
        <f t="shared" si="8"/>
        <v>23.890635384681836</v>
      </c>
      <c r="L43" s="22">
        <f t="shared" si="8"/>
        <v>26.191694354948503</v>
      </c>
      <c r="M43" s="22">
        <f t="shared" si="8"/>
        <v>28.492753325215165</v>
      </c>
    </row>
    <row r="44" spans="1:13" ht="12.75">
      <c r="A44" s="16">
        <f t="shared" si="7"/>
        <v>8</v>
      </c>
      <c r="B44" s="16">
        <f t="shared" si="7"/>
        <v>87.40710318666827</v>
      </c>
      <c r="C44" s="16">
        <f t="shared" si="7"/>
        <v>4.851657097882747</v>
      </c>
      <c r="D44" s="28"/>
      <c r="E44" s="22">
        <f t="shared" si="8"/>
        <v>9.771321886568742</v>
      </c>
      <c r="F44" s="22">
        <f t="shared" si="8"/>
        <v>11.832473323747593</v>
      </c>
      <c r="G44" s="22">
        <f t="shared" si="8"/>
        <v>13.893624760926444</v>
      </c>
      <c r="H44" s="22">
        <f t="shared" si="8"/>
        <v>15.954776198105296</v>
      </c>
      <c r="I44" s="22">
        <f t="shared" si="8"/>
        <v>18.015927635284147</v>
      </c>
      <c r="J44" s="22">
        <f t="shared" si="8"/>
        <v>20.077079072463</v>
      </c>
      <c r="K44" s="22">
        <f t="shared" si="8"/>
        <v>22.13823050964185</v>
      </c>
      <c r="L44" s="22">
        <f t="shared" si="8"/>
        <v>24.199381946820704</v>
      </c>
      <c r="M44" s="22">
        <f t="shared" si="8"/>
        <v>26.260533383999555</v>
      </c>
    </row>
    <row r="45" spans="1:13" ht="12.75">
      <c r="A45" s="16">
        <f t="shared" si="7"/>
        <v>9</v>
      </c>
      <c r="B45" s="16">
        <f t="shared" si="7"/>
        <v>90.84851367672815</v>
      </c>
      <c r="C45" s="16">
        <f t="shared" si="7"/>
        <v>5.376961233519516</v>
      </c>
      <c r="D45" s="28"/>
      <c r="E45" s="22">
        <f t="shared" si="8"/>
        <v>9.456738010261793</v>
      </c>
      <c r="F45" s="22">
        <f t="shared" si="8"/>
        <v>11.316524526419071</v>
      </c>
      <c r="G45" s="22">
        <f t="shared" si="8"/>
        <v>13.176311042576348</v>
      </c>
      <c r="H45" s="22">
        <f t="shared" si="8"/>
        <v>15.036097558733626</v>
      </c>
      <c r="I45" s="22">
        <f t="shared" si="8"/>
        <v>16.895884074890905</v>
      </c>
      <c r="J45" s="22">
        <f t="shared" si="8"/>
        <v>18.755670591048183</v>
      </c>
      <c r="K45" s="22">
        <f t="shared" si="8"/>
        <v>20.615457107205458</v>
      </c>
      <c r="L45" s="22">
        <f t="shared" si="8"/>
        <v>22.475243623362736</v>
      </c>
      <c r="M45" s="22">
        <f t="shared" si="8"/>
        <v>24.335030139520015</v>
      </c>
    </row>
    <row r="46" spans="1:13" ht="12.75">
      <c r="A46" s="16">
        <f t="shared" si="7"/>
        <v>10</v>
      </c>
      <c r="B46" s="16">
        <f t="shared" si="7"/>
        <v>94.16423518011733</v>
      </c>
      <c r="C46" s="16">
        <f t="shared" si="7"/>
        <v>5.91960245880046</v>
      </c>
      <c r="D46" s="28"/>
      <c r="E46" s="22">
        <f t="shared" si="8"/>
        <v>9.149978492152512</v>
      </c>
      <c r="F46" s="22">
        <f t="shared" si="8"/>
        <v>10.839281121779837</v>
      </c>
      <c r="G46" s="22">
        <f t="shared" si="8"/>
        <v>12.528583751407162</v>
      </c>
      <c r="H46" s="22">
        <f t="shared" si="8"/>
        <v>14.217886381034488</v>
      </c>
      <c r="I46" s="22">
        <f t="shared" si="8"/>
        <v>15.907189010661813</v>
      </c>
      <c r="J46" s="22">
        <f t="shared" si="8"/>
        <v>17.596491640289138</v>
      </c>
      <c r="K46" s="22">
        <f t="shared" si="8"/>
        <v>19.285794269916465</v>
      </c>
      <c r="L46" s="22">
        <f t="shared" si="8"/>
        <v>20.97509689954379</v>
      </c>
      <c r="M46" s="22">
        <f t="shared" si="8"/>
        <v>22.664399529171114</v>
      </c>
    </row>
    <row r="47" spans="1:13" ht="12.75">
      <c r="A47" s="16">
        <f t="shared" si="7"/>
        <v>11</v>
      </c>
      <c r="B47" s="16">
        <f t="shared" si="7"/>
        <v>97.36710911207251</v>
      </c>
      <c r="C47" s="16">
        <f t="shared" si="7"/>
        <v>6.477809474799454</v>
      </c>
      <c r="D47" s="28"/>
      <c r="E47" s="22">
        <f t="shared" si="8"/>
        <v>8.855942635430559</v>
      </c>
      <c r="F47" s="22">
        <f t="shared" si="8"/>
        <v>10.399674361240477</v>
      </c>
      <c r="G47" s="22">
        <f t="shared" si="8"/>
        <v>11.943406087050395</v>
      </c>
      <c r="H47" s="22">
        <f t="shared" si="8"/>
        <v>13.487137812860313</v>
      </c>
      <c r="I47" s="22">
        <f t="shared" si="8"/>
        <v>15.030869538670231</v>
      </c>
      <c r="J47" s="22">
        <f t="shared" si="8"/>
        <v>16.574601264480147</v>
      </c>
      <c r="K47" s="22">
        <f t="shared" si="8"/>
        <v>18.118332990290067</v>
      </c>
      <c r="L47" s="22">
        <f t="shared" si="8"/>
        <v>19.662064716099984</v>
      </c>
      <c r="M47" s="22">
        <f t="shared" si="8"/>
        <v>21.205796441909904</v>
      </c>
    </row>
    <row r="48" spans="1:13" ht="12.75">
      <c r="A48" s="17">
        <f t="shared" si="7"/>
        <v>12</v>
      </c>
      <c r="B48" s="17">
        <f t="shared" si="7"/>
        <v>100.46792864704646</v>
      </c>
      <c r="C48" s="17">
        <f t="shared" si="7"/>
        <v>7.050093509604251</v>
      </c>
      <c r="D48" s="29"/>
      <c r="E48" s="23">
        <f t="shared" si="8"/>
        <v>8.576897393583758</v>
      </c>
      <c r="F48" s="23">
        <f t="shared" si="8"/>
        <v>9.995318296282017</v>
      </c>
      <c r="G48" s="23">
        <f t="shared" si="8"/>
        <v>11.413739198980275</v>
      </c>
      <c r="H48" s="23">
        <f t="shared" si="8"/>
        <v>12.832160101678536</v>
      </c>
      <c r="I48" s="23">
        <f t="shared" si="8"/>
        <v>14.250581004376794</v>
      </c>
      <c r="J48" s="23">
        <f t="shared" si="8"/>
        <v>15.669001907075053</v>
      </c>
      <c r="K48" s="23">
        <f t="shared" si="8"/>
        <v>17.08742280977331</v>
      </c>
      <c r="L48" s="23">
        <f t="shared" si="8"/>
        <v>18.50584371247157</v>
      </c>
      <c r="M48" s="23">
        <f t="shared" si="8"/>
        <v>19.92426461516983</v>
      </c>
    </row>
  </sheetData>
  <printOptions/>
  <pageMargins left="0.75" right="0.75" top="1" bottom="1" header="0.5" footer="0.5"/>
  <pageSetup fitToHeight="1" fitToWidth="1" orientation="landscape" paperSize="9" scale="8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="75" zoomScaleNormal="75" workbookViewId="0" topLeftCell="A1">
      <selection activeCell="B14" sqref="B14"/>
    </sheetView>
  </sheetViews>
  <sheetFormatPr defaultColWidth="9.00390625" defaultRowHeight="12.75"/>
  <cols>
    <col min="1" max="1" width="11.375" style="0" customWidth="1"/>
    <col min="2" max="2" width="10.625" style="0" customWidth="1"/>
    <col min="3" max="3" width="10.375" style="0" customWidth="1"/>
    <col min="4" max="4" width="8.75390625" style="0" customWidth="1"/>
    <col min="5" max="5" width="7.875" style="0" customWidth="1"/>
    <col min="6" max="16384" width="11.375" style="0" customWidth="1"/>
  </cols>
  <sheetData>
    <row r="1" ht="18">
      <c r="A1" s="6" t="s">
        <v>329</v>
      </c>
    </row>
    <row r="3" ht="12.75">
      <c r="A3" s="31" t="s">
        <v>260</v>
      </c>
    </row>
    <row r="4" ht="12.75">
      <c r="D4" s="1"/>
    </row>
    <row r="5" spans="1:5" ht="12.75">
      <c r="A5" t="s">
        <v>272</v>
      </c>
      <c r="B5">
        <v>0</v>
      </c>
      <c r="C5" t="s">
        <v>79</v>
      </c>
      <c r="D5" s="1"/>
      <c r="E5" s="2"/>
    </row>
    <row r="7" spans="1:4" ht="12.75">
      <c r="A7" s="3" t="s">
        <v>330</v>
      </c>
      <c r="B7" s="3" t="s">
        <v>331</v>
      </c>
      <c r="C7" s="3" t="s">
        <v>332</v>
      </c>
      <c r="D7" s="3" t="s">
        <v>333</v>
      </c>
    </row>
    <row r="8" spans="1:6" ht="12.75">
      <c r="A8">
        <v>0</v>
      </c>
      <c r="B8" s="1">
        <f>SQRT((kc+kWm-kCl)/ka)</f>
        <v>52.27232240104294</v>
      </c>
      <c r="C8" s="5">
        <f>(kCl*SQRT((kc-kCl)/ka))/(2*kCl-2*kc-kb*SQRT((kc-kCl)/ka))</f>
        <v>0</v>
      </c>
      <c r="D8" s="1">
        <f>C8*kph_knot</f>
        <v>0</v>
      </c>
      <c r="E8" s="1"/>
      <c r="F8" s="1"/>
    </row>
    <row r="9" spans="1:6" ht="12.75">
      <c r="A9">
        <v>1</v>
      </c>
      <c r="B9" s="1">
        <f aca="true" t="shared" si="0" ref="B9:B24">SQRT((kc+kWm-kCl)/ka)</f>
        <v>57.84329208287131</v>
      </c>
      <c r="C9" s="5">
        <f aca="true" t="shared" si="1" ref="C9:C24">(kCl*SQRT((kc-kCl)/ka))/(2*kCl-2*kc-kb*SQRT((kc-kCl)/ka))</f>
        <v>19.744544273907962</v>
      </c>
      <c r="D9" s="1">
        <f aca="true" t="shared" si="2" ref="D9:D24">C9*kph_knot</f>
        <v>36.590273535697854</v>
      </c>
      <c r="E9" s="1"/>
      <c r="F9" s="80"/>
    </row>
    <row r="10" spans="1:6" ht="12.75">
      <c r="A10">
        <v>2</v>
      </c>
      <c r="B10" s="1">
        <f t="shared" si="0"/>
        <v>62.922946440628074</v>
      </c>
      <c r="C10" s="5">
        <f t="shared" si="1"/>
        <v>29.75844094417462</v>
      </c>
      <c r="D10" s="1">
        <f t="shared" si="2"/>
        <v>55.1478666226893</v>
      </c>
      <c r="E10" s="1"/>
      <c r="F10" s="80"/>
    </row>
    <row r="11" spans="1:6" ht="12.75">
      <c r="A11">
        <v>3</v>
      </c>
      <c r="B11" s="1">
        <f t="shared" si="0"/>
        <v>67.62209652588373</v>
      </c>
      <c r="C11" s="5">
        <f t="shared" si="1"/>
        <v>36.35120887801277</v>
      </c>
      <c r="D11" s="1">
        <f t="shared" si="2"/>
        <v>67.36547867339121</v>
      </c>
      <c r="E11" s="1"/>
      <c r="F11" s="80"/>
    </row>
    <row r="12" spans="1:6" ht="12.75">
      <c r="A12">
        <v>4</v>
      </c>
      <c r="B12" s="1">
        <f t="shared" si="0"/>
        <v>72.015267050409</v>
      </c>
      <c r="C12" s="5">
        <f t="shared" si="1"/>
        <v>41.300546529274776</v>
      </c>
      <c r="D12" s="1">
        <f t="shared" si="2"/>
        <v>76.53751201930754</v>
      </c>
      <c r="E12" s="1"/>
      <c r="F12" s="80"/>
    </row>
    <row r="13" spans="1:6" ht="12.75">
      <c r="A13">
        <v>5</v>
      </c>
      <c r="B13" s="1">
        <f t="shared" si="0"/>
        <v>76.15542947241195</v>
      </c>
      <c r="C13" s="5">
        <f t="shared" si="1"/>
        <v>45.310801390077344</v>
      </c>
      <c r="D13" s="1">
        <f t="shared" si="2"/>
        <v>83.96925216326909</v>
      </c>
      <c r="E13" s="1"/>
      <c r="F13" s="80"/>
    </row>
    <row r="14" spans="1:6" ht="12.75">
      <c r="A14">
        <v>6</v>
      </c>
      <c r="B14" s="1">
        <f t="shared" si="0"/>
        <v>80.08183431910946</v>
      </c>
      <c r="C14" s="5">
        <f t="shared" si="1"/>
        <v>48.72106884697134</v>
      </c>
      <c r="D14" s="1">
        <f t="shared" si="2"/>
        <v>90.28910525010573</v>
      </c>
      <c r="E14" s="1"/>
      <c r="F14" s="80"/>
    </row>
    <row r="15" spans="1:6" ht="12.75">
      <c r="A15">
        <v>7</v>
      </c>
      <c r="B15" s="1">
        <f t="shared" si="0"/>
        <v>83.82452467923147</v>
      </c>
      <c r="C15" s="5">
        <f t="shared" si="1"/>
        <v>51.71696758519968</v>
      </c>
      <c r="D15" s="1">
        <f t="shared" si="2"/>
        <v>95.84105685741069</v>
      </c>
      <c r="E15" s="1"/>
      <c r="F15" s="80"/>
    </row>
    <row r="16" spans="1:6" ht="12.75">
      <c r="A16">
        <v>8</v>
      </c>
      <c r="B16" s="1">
        <f t="shared" si="0"/>
        <v>87.40710318666827</v>
      </c>
      <c r="C16" s="5">
        <f t="shared" si="1"/>
        <v>54.40985704548136</v>
      </c>
      <c r="D16" s="1">
        <f t="shared" si="2"/>
        <v>100.83147651897332</v>
      </c>
      <c r="E16" s="1"/>
      <c r="F16" s="80"/>
    </row>
    <row r="17" spans="1:6" ht="12.75">
      <c r="A17">
        <v>9</v>
      </c>
      <c r="B17" s="1">
        <f t="shared" si="0"/>
        <v>90.84851367672815</v>
      </c>
      <c r="C17" s="5">
        <f t="shared" si="1"/>
        <v>56.87131027273375</v>
      </c>
      <c r="D17" s="1">
        <f t="shared" si="2"/>
        <v>105.39300225646582</v>
      </c>
      <c r="E17" s="1"/>
      <c r="F17" s="80"/>
    </row>
    <row r="18" spans="1:6" ht="12.75">
      <c r="A18">
        <v>10</v>
      </c>
      <c r="B18" s="1">
        <f t="shared" si="0"/>
        <v>94.16423518011733</v>
      </c>
      <c r="C18" s="5">
        <f t="shared" si="1"/>
        <v>59.149865974236505</v>
      </c>
      <c r="D18" s="1">
        <f t="shared" si="2"/>
        <v>109.6155852255995</v>
      </c>
      <c r="E18" s="1"/>
      <c r="F18" s="80"/>
    </row>
    <row r="19" spans="1:6" ht="12.75">
      <c r="A19">
        <v>11</v>
      </c>
      <c r="B19" s="1">
        <f t="shared" si="0"/>
        <v>97.36710911207251</v>
      </c>
      <c r="C19" s="5">
        <f t="shared" si="1"/>
        <v>61.279887607030176</v>
      </c>
      <c r="D19" s="1">
        <f t="shared" si="2"/>
        <v>113.56290723514661</v>
      </c>
      <c r="E19" s="1"/>
      <c r="F19" s="80"/>
    </row>
    <row r="20" spans="1:6" ht="12.75">
      <c r="A20">
        <v>12</v>
      </c>
      <c r="B20" s="1">
        <f t="shared" si="0"/>
        <v>100.46792864704646</v>
      </c>
      <c r="C20" s="5">
        <f t="shared" si="1"/>
        <v>63.28657353606887</v>
      </c>
      <c r="D20" s="1">
        <f t="shared" si="2"/>
        <v>117.28166549186625</v>
      </c>
      <c r="E20" s="1"/>
      <c r="F20" s="80"/>
    </row>
    <row r="21" spans="1:6" ht="12.75">
      <c r="A21">
        <v>13</v>
      </c>
      <c r="B21" s="1">
        <f t="shared" si="0"/>
        <v>103.47586886039569</v>
      </c>
      <c r="C21" s="5">
        <f t="shared" si="1"/>
        <v>65.18894961856965</v>
      </c>
      <c r="D21" s="1">
        <f t="shared" si="2"/>
        <v>120.80711840993938</v>
      </c>
      <c r="E21" s="1"/>
      <c r="F21" s="80"/>
    </row>
    <row r="22" spans="1:6" ht="12.75">
      <c r="A22">
        <v>14</v>
      </c>
      <c r="B22" s="1">
        <f t="shared" si="0"/>
        <v>106.39880725929025</v>
      </c>
      <c r="C22" s="5">
        <f t="shared" si="1"/>
        <v>67.00173974011858</v>
      </c>
      <c r="D22" s="1">
        <f t="shared" si="2"/>
        <v>124.1665520585519</v>
      </c>
      <c r="E22" s="1"/>
      <c r="F22" s="80"/>
    </row>
    <row r="23" spans="1:6" ht="12.75">
      <c r="A23">
        <v>15</v>
      </c>
      <c r="B23" s="1">
        <f t="shared" si="0"/>
        <v>109.243567023351</v>
      </c>
      <c r="C23" s="5">
        <f t="shared" si="1"/>
        <v>68.73658074026969</v>
      </c>
      <c r="D23" s="1">
        <f t="shared" si="2"/>
        <v>127.38153164257594</v>
      </c>
      <c r="E23" s="1"/>
      <c r="F23" s="80"/>
    </row>
    <row r="24" spans="1:6" ht="12.75">
      <c r="A24">
        <v>16</v>
      </c>
      <c r="B24" s="1">
        <f t="shared" si="0"/>
        <v>112.01610458220358</v>
      </c>
      <c r="C24" s="5">
        <f t="shared" si="1"/>
        <v>70.40283787077303</v>
      </c>
      <c r="D24" s="1">
        <f t="shared" si="2"/>
        <v>130.46941269671063</v>
      </c>
      <c r="E24" s="1"/>
      <c r="F24" s="80"/>
    </row>
    <row r="25" spans="1:6" ht="12.75">
      <c r="A25">
        <v>17</v>
      </c>
      <c r="B25" s="1">
        <f>SQRT((kc+kWm-kCl)/ka)</f>
        <v>114.72165634943107</v>
      </c>
      <c r="C25" s="5">
        <f>(kCl*SQRT((kc-kCl)/ka))/(2*kCl-2*kc-kb*SQRT((kc-kCl)/ka))</f>
        <v>72.00816792649516</v>
      </c>
      <c r="D25" s="1">
        <f>C25*kph_knot</f>
        <v>133.444384670694</v>
      </c>
      <c r="E25" s="1"/>
      <c r="F25" s="80"/>
    </row>
    <row r="26" spans="1:6" ht="12.75">
      <c r="A26">
        <v>18</v>
      </c>
      <c r="B26" s="1">
        <f>SQRT((kc+kWm-kCl)/ka)</f>
        <v>117.36485498369068</v>
      </c>
      <c r="C26" s="5">
        <f>(kCl*SQRT((kc-kCl)/ka))/(2*kCl-2*kc-kb*SQRT((kc-kCl)/ka))</f>
        <v>73.55891792058192</v>
      </c>
      <c r="D26" s="1">
        <f>C26*kph_knot</f>
        <v>136.3182097477357</v>
      </c>
      <c r="E26" s="1"/>
      <c r="F26" s="80"/>
    </row>
    <row r="27" spans="1:6" ht="12.75">
      <c r="A27">
        <v>19</v>
      </c>
      <c r="B27" s="1">
        <f>SQRT((kc+kWm-kCl)/ka)</f>
        <v>119.9498225723095</v>
      </c>
      <c r="C27" s="5">
        <f>(kCl*SQRT((kc-kCl)/ka))/(2*kCl-2*kc-kb*SQRT((kc-kCl)/ka))</f>
        <v>75.06041358807038</v>
      </c>
      <c r="D27" s="1">
        <f>C27*kph_knot</f>
        <v>139.1007574947946</v>
      </c>
      <c r="E27" s="1"/>
      <c r="F27" s="80"/>
    </row>
    <row r="28" spans="1:6" ht="12.75">
      <c r="A28">
        <v>20</v>
      </c>
      <c r="B28" s="1">
        <f>SQRT((kc+kWm-kCl)/ka)</f>
        <v>122.48024610080728</v>
      </c>
      <c r="C28" s="5">
        <f>(kCl*SQRT((kc-kCl)/ka))/(2*kCl-2*kc-kb*SQRT((kc-kCl)/ka))</f>
        <v>76.51717226742026</v>
      </c>
      <c r="D28" s="1">
        <f>C28*kph_knot</f>
        <v>141.80039937122694</v>
      </c>
      <c r="E28" s="1"/>
      <c r="F28" s="80"/>
    </row>
    <row r="30" spans="2:4" ht="12.75">
      <c r="B30" s="1"/>
      <c r="C30" s="1"/>
      <c r="D30" s="1"/>
    </row>
    <row r="31" spans="2:3" ht="12.75">
      <c r="B31" s="1"/>
      <c r="C31" s="1"/>
    </row>
    <row r="32" spans="2:3" ht="12.75">
      <c r="B32" s="1"/>
      <c r="C32" s="1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17" sqref="B17"/>
    </sheetView>
  </sheetViews>
  <sheetFormatPr defaultColWidth="9.00390625" defaultRowHeight="12.75"/>
  <cols>
    <col min="1" max="1" width="29.25390625" style="41" customWidth="1"/>
    <col min="2" max="16384" width="9.125" style="41" customWidth="1"/>
  </cols>
  <sheetData>
    <row r="1" spans="1:10" ht="18">
      <c r="A1" s="6" t="s">
        <v>334</v>
      </c>
      <c r="B1"/>
      <c r="C1"/>
      <c r="D1"/>
      <c r="E1"/>
      <c r="F1"/>
      <c r="G1"/>
      <c r="H1"/>
      <c r="I1"/>
      <c r="J1"/>
    </row>
    <row r="2" spans="1:10" ht="12.75">
      <c r="A2" s="46" t="s">
        <v>335</v>
      </c>
      <c r="D2" s="50" t="s">
        <v>336</v>
      </c>
      <c r="I2"/>
      <c r="J2"/>
    </row>
    <row r="3" spans="1:10" ht="12.75">
      <c r="A3"/>
      <c r="D3" s="45"/>
      <c r="H3" s="43"/>
      <c r="I3" s="36"/>
      <c r="J3"/>
    </row>
    <row r="4" spans="1:10" ht="12.75">
      <c r="A4"/>
      <c r="D4" s="45"/>
      <c r="H4" s="43"/>
      <c r="I4" s="36"/>
      <c r="J4"/>
    </row>
    <row r="5" spans="1:13" ht="12.75">
      <c r="A5"/>
      <c r="D5" s="45"/>
      <c r="H5" s="36"/>
      <c r="I5" s="36"/>
      <c r="J5"/>
      <c r="K5"/>
      <c r="L5"/>
      <c r="M5"/>
    </row>
    <row r="6" spans="1:13" ht="12.75">
      <c r="A6"/>
      <c r="D6" s="45"/>
      <c r="H6" s="36"/>
      <c r="I6" s="36"/>
      <c r="J6"/>
      <c r="K6"/>
      <c r="L6"/>
      <c r="M6"/>
    </row>
    <row r="7" spans="1:13" ht="12.75">
      <c r="A7"/>
      <c r="D7" s="45"/>
      <c r="H7" s="36"/>
      <c r="I7" s="36"/>
      <c r="J7"/>
      <c r="K7"/>
      <c r="L7"/>
      <c r="M7"/>
    </row>
    <row r="8" spans="1:13" ht="12.75">
      <c r="A8"/>
      <c r="D8" s="50" t="s">
        <v>337</v>
      </c>
      <c r="E8" s="47" t="s">
        <v>338</v>
      </c>
      <c r="H8" s="36"/>
      <c r="I8" s="36"/>
      <c r="J8"/>
      <c r="K8"/>
      <c r="L8"/>
      <c r="M8"/>
    </row>
    <row r="9" spans="1:13" ht="12.75">
      <c r="A9"/>
      <c r="D9" s="45"/>
      <c r="H9" s="36"/>
      <c r="I9" s="36"/>
      <c r="J9"/>
      <c r="K9"/>
      <c r="L9"/>
      <c r="M9"/>
    </row>
    <row r="10" spans="1:13" ht="12.75">
      <c r="A10"/>
      <c r="D10" s="50" t="s">
        <v>339</v>
      </c>
      <c r="E10" s="47" t="s">
        <v>340</v>
      </c>
      <c r="H10" s="36"/>
      <c r="I10" s="36"/>
      <c r="J10"/>
      <c r="K10"/>
      <c r="L10"/>
      <c r="M10"/>
    </row>
    <row r="11" spans="4:13" ht="12.75">
      <c r="D11" s="45"/>
      <c r="H11" s="36"/>
      <c r="I11" s="36"/>
      <c r="J11"/>
      <c r="K11"/>
      <c r="L11"/>
      <c r="M11"/>
    </row>
    <row r="12" spans="4:13" ht="12.75">
      <c r="D12" s="50" t="s">
        <v>341</v>
      </c>
      <c r="E12" s="47" t="s">
        <v>342</v>
      </c>
      <c r="H12" s="36"/>
      <c r="I12" s="36"/>
      <c r="J12"/>
      <c r="K12"/>
      <c r="L12"/>
      <c r="M12"/>
    </row>
    <row r="13" spans="1:13" ht="12.75">
      <c r="A13" s="41" t="s">
        <v>343</v>
      </c>
      <c r="B13" s="103">
        <v>8</v>
      </c>
      <c r="C13" s="41" t="s">
        <v>79</v>
      </c>
      <c r="E13"/>
      <c r="F13"/>
      <c r="G13"/>
      <c r="H13" s="36"/>
      <c r="I13" s="36"/>
      <c r="J13"/>
      <c r="K13"/>
      <c r="L13"/>
      <c r="M13"/>
    </row>
    <row r="14" spans="1:13" ht="12.75">
      <c r="A14" s="47" t="s">
        <v>344</v>
      </c>
      <c r="B14" s="103">
        <v>3000</v>
      </c>
      <c r="C14" s="41" t="s">
        <v>345</v>
      </c>
      <c r="D14" s="41" t="s">
        <v>346</v>
      </c>
      <c r="F14"/>
      <c r="G14"/>
      <c r="H14" s="36"/>
      <c r="I14" s="36"/>
      <c r="J14"/>
      <c r="K14"/>
      <c r="L14"/>
      <c r="M14"/>
    </row>
    <row r="15" spans="1:13" ht="12.75">
      <c r="A15" s="47" t="s">
        <v>347</v>
      </c>
      <c r="B15" s="103">
        <v>6000</v>
      </c>
      <c r="C15" s="41" t="s">
        <v>345</v>
      </c>
      <c r="D15" s="41" t="s">
        <v>335</v>
      </c>
      <c r="F15"/>
      <c r="G15"/>
      <c r="H15" s="36"/>
      <c r="I15" s="36"/>
      <c r="J15"/>
      <c r="K15"/>
      <c r="L15"/>
      <c r="M15"/>
    </row>
    <row r="16" spans="1:3" ht="12.75">
      <c r="A16" s="47" t="s">
        <v>348</v>
      </c>
      <c r="B16" s="103">
        <v>10000</v>
      </c>
      <c r="C16" s="47" t="s">
        <v>345</v>
      </c>
    </row>
    <row r="17" spans="1:4" ht="12.75">
      <c r="A17" t="s">
        <v>349</v>
      </c>
      <c r="B17" s="103">
        <v>10</v>
      </c>
      <c r="C17"/>
      <c r="D17"/>
    </row>
    <row r="18" spans="1:5" ht="12.75">
      <c r="A18" s="41" t="s">
        <v>350</v>
      </c>
      <c r="B18" s="1">
        <f>B17*B16/ft_knot</f>
        <v>16.44736842105263</v>
      </c>
      <c r="C18" t="s">
        <v>351</v>
      </c>
      <c r="D18" s="42">
        <f>B17*B16/ft_km</f>
        <v>30.48</v>
      </c>
      <c r="E18" s="41" t="s">
        <v>352</v>
      </c>
    </row>
    <row r="19" spans="2:7" ht="12.75">
      <c r="B19" s="44"/>
      <c r="C19" s="44"/>
      <c r="D19" s="44"/>
      <c r="E19" s="44"/>
      <c r="F19" s="44"/>
      <c r="G19" s="44"/>
    </row>
    <row r="20" spans="1:14" ht="12.75">
      <c r="A20" s="47" t="s">
        <v>353</v>
      </c>
      <c r="B20" s="41">
        <v>50</v>
      </c>
      <c r="C20" s="41">
        <v>55</v>
      </c>
      <c r="D20" s="41">
        <v>60</v>
      </c>
      <c r="E20" s="41">
        <v>65</v>
      </c>
      <c r="F20" s="41">
        <v>70</v>
      </c>
      <c r="G20" s="41">
        <v>75</v>
      </c>
      <c r="H20" s="41">
        <v>80</v>
      </c>
      <c r="I20" s="41">
        <v>85</v>
      </c>
      <c r="J20" s="41">
        <v>90</v>
      </c>
      <c r="K20" s="41">
        <v>95</v>
      </c>
      <c r="L20" s="41">
        <v>100</v>
      </c>
      <c r="M20" s="41">
        <v>105</v>
      </c>
      <c r="N20" s="41">
        <v>110</v>
      </c>
    </row>
    <row r="21" spans="1:14" ht="12.75">
      <c r="A21" s="54" t="s">
        <v>354</v>
      </c>
      <c r="B21" s="55">
        <f>IF(B28=MAX($B$28:$N$28),"XXX","")</f>
      </c>
      <c r="C21" s="55">
        <f aca="true" t="shared" si="0" ref="C21:N21">IF(C28=MAX($B$28:$N$28),"XXX","")</f>
      </c>
      <c r="D21" s="55">
        <f t="shared" si="0"/>
      </c>
      <c r="E21" s="55">
        <f t="shared" si="0"/>
      </c>
      <c r="F21" s="55">
        <f t="shared" si="0"/>
      </c>
      <c r="G21" s="55">
        <f t="shared" si="0"/>
      </c>
      <c r="H21" s="55">
        <f t="shared" si="0"/>
      </c>
      <c r="I21" s="55" t="str">
        <f t="shared" si="0"/>
        <v>XXX</v>
      </c>
      <c r="J21" s="55">
        <f t="shared" si="0"/>
      </c>
      <c r="K21" s="55">
        <f t="shared" si="0"/>
      </c>
      <c r="L21" s="55">
        <f t="shared" si="0"/>
      </c>
      <c r="M21" s="55">
        <f t="shared" si="0"/>
      </c>
      <c r="N21" s="55">
        <f t="shared" si="0"/>
      </c>
    </row>
    <row r="22" spans="1:14" ht="12.75">
      <c r="A22" s="47" t="s">
        <v>355</v>
      </c>
      <c r="B22" s="44">
        <f>B20/(-1*(ka*B20*B20+kb*B20+kc))</f>
        <v>30.62551253634136</v>
      </c>
      <c r="C22" s="44">
        <f aca="true" t="shared" si="1" ref="C22:N22">C20/(-1*(ka*C20*C20+kb*C20+kc))</f>
        <v>30.57665293202421</v>
      </c>
      <c r="D22" s="44">
        <f t="shared" si="1"/>
        <v>29.3198318222414</v>
      </c>
      <c r="E22" s="44">
        <f t="shared" si="1"/>
        <v>27.362187980609527</v>
      </c>
      <c r="F22" s="44">
        <f t="shared" si="1"/>
        <v>25.123899215137943</v>
      </c>
      <c r="G22" s="44">
        <f t="shared" si="1"/>
        <v>22.87737216298131</v>
      </c>
      <c r="H22" s="44">
        <f t="shared" si="1"/>
        <v>20.76836983629044</v>
      </c>
      <c r="I22" s="44">
        <f t="shared" si="1"/>
        <v>18.85879598023319</v>
      </c>
      <c r="J22" s="44">
        <f t="shared" si="1"/>
        <v>17.162943100223522</v>
      </c>
      <c r="K22" s="44">
        <f t="shared" si="1"/>
        <v>15.671299276711848</v>
      </c>
      <c r="L22" s="44">
        <f t="shared" si="1"/>
        <v>14.364256470790458</v>
      </c>
      <c r="M22" s="44">
        <f t="shared" si="1"/>
        <v>13.219322487858694</v>
      </c>
      <c r="N22" s="44">
        <f t="shared" si="1"/>
        <v>12.214597331189886</v>
      </c>
    </row>
    <row r="23" spans="1:14" ht="12.75">
      <c r="A23" s="47" t="s">
        <v>356</v>
      </c>
      <c r="B23" s="42">
        <f>$B$18/B20*60</f>
        <v>19.736842105263158</v>
      </c>
      <c r="C23" s="42">
        <f aca="true" t="shared" si="2" ref="C23:N23">$B$18/C20*60</f>
        <v>17.942583732057415</v>
      </c>
      <c r="D23" s="42">
        <f t="shared" si="2"/>
        <v>16.44736842105263</v>
      </c>
      <c r="E23" s="42">
        <f t="shared" si="2"/>
        <v>15.182186234817813</v>
      </c>
      <c r="F23" s="42">
        <f t="shared" si="2"/>
        <v>14.097744360902254</v>
      </c>
      <c r="G23" s="42">
        <f t="shared" si="2"/>
        <v>13.157894736842104</v>
      </c>
      <c r="H23" s="42">
        <f t="shared" si="2"/>
        <v>12.335526315789473</v>
      </c>
      <c r="I23" s="42">
        <f t="shared" si="2"/>
        <v>11.609907120743033</v>
      </c>
      <c r="J23" s="42">
        <f t="shared" si="2"/>
        <v>10.964912280701753</v>
      </c>
      <c r="K23" s="42">
        <f t="shared" si="2"/>
        <v>10.38781163434903</v>
      </c>
      <c r="L23" s="42">
        <f t="shared" si="2"/>
        <v>9.868421052631579</v>
      </c>
      <c r="M23" s="42">
        <f t="shared" si="2"/>
        <v>9.398496240601503</v>
      </c>
      <c r="N23" s="42">
        <f t="shared" si="2"/>
        <v>8.971291866028707</v>
      </c>
    </row>
    <row r="24" spans="1:14" ht="12.75">
      <c r="A24" s="41" t="s">
        <v>357</v>
      </c>
      <c r="B24" s="43">
        <f>ROUND($B$18*ft_knot/B22,1)</f>
        <v>3265.3</v>
      </c>
      <c r="C24" s="43">
        <f aca="true" t="shared" si="3" ref="C24:N24">ROUND($B$18*ft_knot/C22,1)</f>
        <v>3270.5</v>
      </c>
      <c r="D24" s="43">
        <f t="shared" si="3"/>
        <v>3410.7</v>
      </c>
      <c r="E24" s="43">
        <f t="shared" si="3"/>
        <v>3654.7</v>
      </c>
      <c r="F24" s="43">
        <f t="shared" si="3"/>
        <v>3980.3</v>
      </c>
      <c r="G24" s="43">
        <f t="shared" si="3"/>
        <v>4371.1</v>
      </c>
      <c r="H24" s="43">
        <f t="shared" si="3"/>
        <v>4815</v>
      </c>
      <c r="I24" s="43">
        <f t="shared" si="3"/>
        <v>5302.6</v>
      </c>
      <c r="J24" s="43">
        <f t="shared" si="3"/>
        <v>5826.5</v>
      </c>
      <c r="K24" s="43">
        <f t="shared" si="3"/>
        <v>6381.1</v>
      </c>
      <c r="L24" s="43">
        <f t="shared" si="3"/>
        <v>6961.7</v>
      </c>
      <c r="M24" s="43">
        <f t="shared" si="3"/>
        <v>7564.7</v>
      </c>
      <c r="N24" s="43">
        <f t="shared" si="3"/>
        <v>8186.9</v>
      </c>
    </row>
    <row r="25" spans="1:14" ht="12.75">
      <c r="A25" s="41" t="s">
        <v>358</v>
      </c>
      <c r="B25" s="51" t="str">
        <f aca="true" t="shared" si="4" ref="B25:N25">IF($B$15-B24&gt;$B$14,$B$15-B24,"Too Low")</f>
        <v>Too Low</v>
      </c>
      <c r="C25" s="51" t="str">
        <f t="shared" si="4"/>
        <v>Too Low</v>
      </c>
      <c r="D25" s="51" t="str">
        <f t="shared" si="4"/>
        <v>Too Low</v>
      </c>
      <c r="E25" s="51" t="str">
        <f t="shared" si="4"/>
        <v>Too Low</v>
      </c>
      <c r="F25" s="51" t="str">
        <f t="shared" si="4"/>
        <v>Too Low</v>
      </c>
      <c r="G25" s="51" t="str">
        <f t="shared" si="4"/>
        <v>Too Low</v>
      </c>
      <c r="H25" s="51" t="str">
        <f t="shared" si="4"/>
        <v>Too Low</v>
      </c>
      <c r="I25" s="51" t="str">
        <f t="shared" si="4"/>
        <v>Too Low</v>
      </c>
      <c r="J25" s="51" t="str">
        <f t="shared" si="4"/>
        <v>Too Low</v>
      </c>
      <c r="K25" s="51" t="str">
        <f t="shared" si="4"/>
        <v>Too Low</v>
      </c>
      <c r="L25" s="51" t="str">
        <f t="shared" si="4"/>
        <v>Too Low</v>
      </c>
      <c r="M25" s="51" t="str">
        <f t="shared" si="4"/>
        <v>Too Low</v>
      </c>
      <c r="N25" s="51" t="str">
        <f t="shared" si="4"/>
        <v>Too Low</v>
      </c>
    </row>
    <row r="26" spans="1:14" ht="12.75">
      <c r="A26" s="47" t="s">
        <v>359</v>
      </c>
      <c r="B26" s="42">
        <f aca="true" t="shared" si="5" ref="B26:N26">B24/($B$13*fpm_knot)</f>
        <v>4.027919407894737</v>
      </c>
      <c r="C26" s="42">
        <f t="shared" si="5"/>
        <v>4.034333881578948</v>
      </c>
      <c r="D26" s="42">
        <f t="shared" si="5"/>
        <v>4.207277960526316</v>
      </c>
      <c r="E26" s="42">
        <f t="shared" si="5"/>
        <v>4.508264802631579</v>
      </c>
      <c r="F26" s="42">
        <f t="shared" si="5"/>
        <v>4.909909539473684</v>
      </c>
      <c r="G26" s="42">
        <f t="shared" si="5"/>
        <v>5.3919819078947375</v>
      </c>
      <c r="H26" s="42">
        <f t="shared" si="5"/>
        <v>5.939555921052632</v>
      </c>
      <c r="I26" s="42">
        <f t="shared" si="5"/>
        <v>6.541036184210527</v>
      </c>
      <c r="J26" s="42">
        <f t="shared" si="5"/>
        <v>7.187294407894737</v>
      </c>
      <c r="K26" s="42">
        <f t="shared" si="5"/>
        <v>7.871422697368422</v>
      </c>
      <c r="L26" s="42">
        <f t="shared" si="5"/>
        <v>8.587623355263158</v>
      </c>
      <c r="M26" s="42">
        <f t="shared" si="5"/>
        <v>9.331455592105263</v>
      </c>
      <c r="N26" s="42">
        <f t="shared" si="5"/>
        <v>10.098972039473685</v>
      </c>
    </row>
    <row r="27" spans="1:14" ht="12.75">
      <c r="A27" s="47" t="s">
        <v>360</v>
      </c>
      <c r="B27" s="44">
        <f>(B26+B23)</f>
        <v>23.764761513157893</v>
      </c>
      <c r="C27" s="44">
        <f aca="true" t="shared" si="6" ref="C27:N27">(C26+C23)</f>
        <v>21.976917613636363</v>
      </c>
      <c r="D27" s="44">
        <f t="shared" si="6"/>
        <v>20.654646381578946</v>
      </c>
      <c r="E27" s="44">
        <f t="shared" si="6"/>
        <v>19.690451037449392</v>
      </c>
      <c r="F27" s="44">
        <f t="shared" si="6"/>
        <v>19.00765390037594</v>
      </c>
      <c r="G27" s="44">
        <f t="shared" si="6"/>
        <v>18.54987664473684</v>
      </c>
      <c r="H27" s="44">
        <f t="shared" si="6"/>
        <v>18.275082236842103</v>
      </c>
      <c r="I27" s="44">
        <f t="shared" si="6"/>
        <v>18.15094330495356</v>
      </c>
      <c r="J27" s="44">
        <f t="shared" si="6"/>
        <v>18.15220668859649</v>
      </c>
      <c r="K27" s="44">
        <f t="shared" si="6"/>
        <v>18.25923433171745</v>
      </c>
      <c r="L27" s="44">
        <f t="shared" si="6"/>
        <v>18.456044407894737</v>
      </c>
      <c r="M27" s="44">
        <f t="shared" si="6"/>
        <v>18.729951832706767</v>
      </c>
      <c r="N27" s="44">
        <f t="shared" si="6"/>
        <v>19.070263905502394</v>
      </c>
    </row>
    <row r="28" spans="1:14" ht="12.75">
      <c r="A28" s="47" t="s">
        <v>361</v>
      </c>
      <c r="B28" s="48">
        <f>$B$18*60/B27</f>
        <v>41.52543692545665</v>
      </c>
      <c r="C28" s="48">
        <f aca="true" t="shared" si="7" ref="C28:N28">$B$18*60/C27</f>
        <v>44.90357213018974</v>
      </c>
      <c r="D28" s="48">
        <f t="shared" si="7"/>
        <v>47.77821353278083</v>
      </c>
      <c r="E28" s="48">
        <f t="shared" si="7"/>
        <v>50.117800927275695</v>
      </c>
      <c r="F28" s="48">
        <f t="shared" si="7"/>
        <v>51.91814362969013</v>
      </c>
      <c r="G28" s="48">
        <f t="shared" si="7"/>
        <v>53.19938909368191</v>
      </c>
      <c r="H28" s="48">
        <f t="shared" si="7"/>
        <v>53.999325008437395</v>
      </c>
      <c r="I28" s="48">
        <f t="shared" si="7"/>
        <v>54.368640168350886</v>
      </c>
      <c r="J28" s="48">
        <f t="shared" si="7"/>
        <v>54.364856140774776</v>
      </c>
      <c r="K28" s="48">
        <f t="shared" si="7"/>
        <v>54.046193139049116</v>
      </c>
      <c r="L28" s="48">
        <f t="shared" si="7"/>
        <v>53.46985970845559</v>
      </c>
      <c r="M28" s="48">
        <f t="shared" si="7"/>
        <v>52.68791474091815</v>
      </c>
      <c r="N28" s="48">
        <f t="shared" si="7"/>
        <v>51.747690024280246</v>
      </c>
    </row>
    <row r="29" spans="1:14" ht="12.75">
      <c r="A29" s="47" t="s">
        <v>362</v>
      </c>
      <c r="B29" s="49">
        <f>(B23-MIN($B$23:$N$23))/MIN($B$23:$N$23)</f>
        <v>1.2000000000000002</v>
      </c>
      <c r="C29" s="49">
        <f aca="true" t="shared" si="8" ref="C29:N29">(C23-MIN($B$23:$N$23))/MIN($B$23:$N$23)</f>
        <v>1</v>
      </c>
      <c r="D29" s="49">
        <f t="shared" si="8"/>
        <v>0.8333333333333334</v>
      </c>
      <c r="E29" s="49">
        <f t="shared" si="8"/>
        <v>0.6923076923076924</v>
      </c>
      <c r="F29" s="49">
        <f t="shared" si="8"/>
        <v>0.5714285714285714</v>
      </c>
      <c r="G29" s="49">
        <f t="shared" si="8"/>
        <v>0.46666666666666673</v>
      </c>
      <c r="H29" s="49">
        <f t="shared" si="8"/>
        <v>0.375</v>
      </c>
      <c r="I29" s="49">
        <f t="shared" si="8"/>
        <v>0.29411764705882354</v>
      </c>
      <c r="J29" s="49">
        <f t="shared" si="8"/>
        <v>0.2222222222222222</v>
      </c>
      <c r="K29" s="49">
        <f t="shared" si="8"/>
        <v>0.15789473684210525</v>
      </c>
      <c r="L29" s="49">
        <f t="shared" si="8"/>
        <v>0.10000000000000007</v>
      </c>
      <c r="M29" s="49">
        <f t="shared" si="8"/>
        <v>0.047619047619047616</v>
      </c>
      <c r="N29" s="49">
        <f t="shared" si="8"/>
        <v>0</v>
      </c>
    </row>
    <row r="30" spans="1:14" ht="12.75">
      <c r="A30" s="47" t="s">
        <v>363</v>
      </c>
      <c r="B30" s="49">
        <f>(B27-MIN($B$26:$N$26))/MIN($B$26:$N$26)</f>
        <v>4.900009187517226</v>
      </c>
      <c r="C30" s="49">
        <f aca="true" t="shared" si="9" ref="C30:N30">(C27-MIN($B$26:$N$26))/MIN($B$26:$N$26)</f>
        <v>4.456146309819784</v>
      </c>
      <c r="D30" s="49">
        <f t="shared" si="9"/>
        <v>4.1278698230892505</v>
      </c>
      <c r="E30" s="49">
        <f t="shared" si="9"/>
        <v>3.8884918101529125</v>
      </c>
      <c r="F30" s="49">
        <f t="shared" si="9"/>
        <v>3.7189757230794798</v>
      </c>
      <c r="G30" s="49">
        <f t="shared" si="9"/>
        <v>3.6053246766504348</v>
      </c>
      <c r="H30" s="49">
        <f t="shared" si="9"/>
        <v>3.537102257066731</v>
      </c>
      <c r="I30" s="49">
        <f t="shared" si="9"/>
        <v>3.506282640456421</v>
      </c>
      <c r="J30" s="49">
        <f t="shared" si="9"/>
        <v>3.506596297090278</v>
      </c>
      <c r="K30" s="49">
        <f t="shared" si="9"/>
        <v>3.53316774311057</v>
      </c>
      <c r="L30" s="49">
        <f t="shared" si="9"/>
        <v>3.58202921630478</v>
      </c>
      <c r="M30" s="49">
        <f t="shared" si="9"/>
        <v>3.6500314271422587</v>
      </c>
      <c r="N30" s="49">
        <f t="shared" si="9"/>
        <v>3.7345197294972197</v>
      </c>
    </row>
    <row r="31" spans="1:14" ht="12.75">
      <c r="A31" s="47" t="s">
        <v>364</v>
      </c>
      <c r="B31" s="49">
        <f aca="true" t="shared" si="10" ref="B31:N31">(B27-MIN($B$27:$N$27))/MIN($B$27:$N$27)</f>
        <v>0.309285204294163</v>
      </c>
      <c r="C31" s="49">
        <f t="shared" si="10"/>
        <v>0.21078652742189208</v>
      </c>
      <c r="D31" s="49">
        <f t="shared" si="10"/>
        <v>0.13793790408359113</v>
      </c>
      <c r="E31" s="49">
        <f t="shared" si="10"/>
        <v>0.08481695450371914</v>
      </c>
      <c r="F31" s="49">
        <f t="shared" si="10"/>
        <v>0.04719923262547867</v>
      </c>
      <c r="G31" s="49">
        <f t="shared" si="10"/>
        <v>0.021978656044526763</v>
      </c>
      <c r="H31" s="49">
        <f t="shared" si="10"/>
        <v>0.006839255117647968</v>
      </c>
      <c r="I31" s="49">
        <f t="shared" si="10"/>
        <v>0</v>
      </c>
      <c r="J31" s="49">
        <f t="shared" si="10"/>
        <v>6.960429668600108E-05</v>
      </c>
      <c r="K31" s="49">
        <f t="shared" si="10"/>
        <v>0.005966137679155028</v>
      </c>
      <c r="L31" s="49">
        <f t="shared" si="10"/>
        <v>0.016809104508519464</v>
      </c>
      <c r="M31" s="49">
        <f t="shared" si="10"/>
        <v>0.031899638383818305</v>
      </c>
      <c r="N31" s="49">
        <f t="shared" si="10"/>
        <v>0.050648640409666296</v>
      </c>
    </row>
    <row r="32" spans="1:14" ht="12.75">
      <c r="A32" s="47" t="s">
        <v>365</v>
      </c>
      <c r="B32" s="49">
        <f>(B28-MAX($B$28:$N$28))/MAX($B$28:$N$28)</f>
        <v>-0.2362244706346459</v>
      </c>
      <c r="C32" s="49">
        <f aca="true" t="shared" si="11" ref="C32:N32">(C28-MAX($B$28:$N$28))/MAX($B$28:$N$28)</f>
        <v>-0.17409057884936696</v>
      </c>
      <c r="D32" s="49">
        <f t="shared" si="11"/>
        <v>-0.12121742635392375</v>
      </c>
      <c r="E32" s="49">
        <f t="shared" si="11"/>
        <v>-0.07818549862407066</v>
      </c>
      <c r="F32" s="49">
        <f t="shared" si="11"/>
        <v>-0.045071874725445916</v>
      </c>
      <c r="G32" s="49">
        <f t="shared" si="11"/>
        <v>-0.021505983431780274</v>
      </c>
      <c r="H32" s="49">
        <f t="shared" si="11"/>
        <v>-0.0067927974429729575</v>
      </c>
      <c r="I32" s="49">
        <f t="shared" si="11"/>
        <v>0</v>
      </c>
      <c r="J32" s="49">
        <f t="shared" si="11"/>
        <v>-6.959945226499541E-05</v>
      </c>
      <c r="K32" s="49">
        <f t="shared" si="11"/>
        <v>-0.005930753984343228</v>
      </c>
      <c r="L32" s="49">
        <f t="shared" si="11"/>
        <v>-0.016531229346775127</v>
      </c>
      <c r="M32" s="49">
        <f t="shared" si="11"/>
        <v>-0.03091350863711906</v>
      </c>
      <c r="N32" s="49">
        <f t="shared" si="11"/>
        <v>-0.04820702036973788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showGridLines="0" workbookViewId="0" topLeftCell="A1">
      <selection activeCell="K20" sqref="K20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2.00390625" style="0" customWidth="1"/>
    <col min="5" max="5" width="5.75390625" style="0" customWidth="1"/>
    <col min="7" max="7" width="4.625" style="0" customWidth="1"/>
    <col min="8" max="8" width="2.125" style="0" customWidth="1"/>
    <col min="9" max="9" width="6.00390625" style="0" customWidth="1"/>
    <col min="11" max="11" width="18.75390625" style="0" customWidth="1"/>
    <col min="12" max="12" width="5.625" style="0" customWidth="1"/>
    <col min="13" max="13" width="12.00390625" style="0" customWidth="1"/>
  </cols>
  <sheetData>
    <row r="1" ht="18">
      <c r="A1" s="6" t="s">
        <v>366</v>
      </c>
    </row>
    <row r="3" spans="1:13" ht="12.75">
      <c r="A3">
        <v>2.54</v>
      </c>
      <c r="B3" t="s">
        <v>367</v>
      </c>
      <c r="C3" t="s">
        <v>310</v>
      </c>
      <c r="D3">
        <v>1</v>
      </c>
      <c r="E3" t="s">
        <v>368</v>
      </c>
      <c r="F3">
        <v>1</v>
      </c>
      <c r="G3" t="s">
        <v>282</v>
      </c>
      <c r="H3" t="s">
        <v>310</v>
      </c>
      <c r="I3">
        <v>0.001</v>
      </c>
      <c r="J3" t="s">
        <v>352</v>
      </c>
      <c r="K3" t="s">
        <v>79</v>
      </c>
      <c r="L3" t="s">
        <v>79</v>
      </c>
      <c r="M3">
        <v>1</v>
      </c>
    </row>
    <row r="4" spans="6:13" ht="12.75">
      <c r="F4">
        <v>1</v>
      </c>
      <c r="G4" t="s">
        <v>282</v>
      </c>
      <c r="H4" t="s">
        <v>310</v>
      </c>
      <c r="I4">
        <v>100</v>
      </c>
      <c r="J4" t="s">
        <v>367</v>
      </c>
      <c r="K4" t="s">
        <v>369</v>
      </c>
      <c r="L4" t="s">
        <v>74</v>
      </c>
      <c r="M4">
        <f>knot_mps</f>
        <v>1.9426025694156652</v>
      </c>
    </row>
    <row r="5" spans="1:13" ht="12.75">
      <c r="A5">
        <v>1</v>
      </c>
      <c r="B5" t="s">
        <v>282</v>
      </c>
      <c r="C5" t="s">
        <v>310</v>
      </c>
      <c r="D5">
        <f>A5*cm_m/A3*D3</f>
        <v>39.37007874015748</v>
      </c>
      <c r="E5" t="s">
        <v>368</v>
      </c>
      <c r="F5">
        <v>1</v>
      </c>
      <c r="G5" t="s">
        <v>282</v>
      </c>
      <c r="H5" t="s">
        <v>310</v>
      </c>
      <c r="I5">
        <v>1000</v>
      </c>
      <c r="J5" t="s">
        <v>370</v>
      </c>
      <c r="K5" t="s">
        <v>371</v>
      </c>
      <c r="L5" t="s">
        <v>372</v>
      </c>
      <c r="M5">
        <f>knot_smph</f>
        <v>1.1515151515151516</v>
      </c>
    </row>
    <row r="6" spans="3:13" ht="12.75">
      <c r="C6" t="s">
        <v>310</v>
      </c>
      <c r="D6">
        <f>D5/in_ft</f>
        <v>3.2808398950131235</v>
      </c>
      <c r="E6" t="s">
        <v>373</v>
      </c>
      <c r="K6" t="s">
        <v>374</v>
      </c>
      <c r="L6" t="s">
        <v>375</v>
      </c>
      <c r="M6">
        <f>knot_kph</f>
        <v>0.5396118248376848</v>
      </c>
    </row>
    <row r="7" spans="1:13" ht="12.75">
      <c r="A7">
        <v>1</v>
      </c>
      <c r="B7" t="s">
        <v>373</v>
      </c>
      <c r="C7" t="s">
        <v>310</v>
      </c>
      <c r="D7">
        <f>1/D6</f>
        <v>0.3048</v>
      </c>
      <c r="E7" t="s">
        <v>282</v>
      </c>
      <c r="F7">
        <v>1</v>
      </c>
      <c r="G7" t="s">
        <v>373</v>
      </c>
      <c r="H7" t="s">
        <v>310</v>
      </c>
      <c r="I7">
        <v>12</v>
      </c>
      <c r="J7" t="s">
        <v>368</v>
      </c>
      <c r="K7" t="s">
        <v>376</v>
      </c>
      <c r="L7" t="s">
        <v>377</v>
      </c>
      <c r="M7">
        <f>knot_fpm</f>
        <v>0.00986842105263158</v>
      </c>
    </row>
    <row r="8" spans="1:13" ht="12.75">
      <c r="A8">
        <v>1</v>
      </c>
      <c r="B8" t="s">
        <v>378</v>
      </c>
      <c r="C8" t="s">
        <v>310</v>
      </c>
      <c r="D8">
        <f>fph_knot</f>
        <v>6080</v>
      </c>
      <c r="E8" t="s">
        <v>379</v>
      </c>
      <c r="K8" t="s">
        <v>380</v>
      </c>
      <c r="L8" t="s">
        <v>381</v>
      </c>
      <c r="M8">
        <f>knot_hfpm</f>
        <v>0.9868421052631581</v>
      </c>
    </row>
    <row r="9" spans="3:10" ht="12.75">
      <c r="C9" t="s">
        <v>310</v>
      </c>
      <c r="D9">
        <f>D8/ft_m</f>
        <v>1853.184</v>
      </c>
      <c r="E9" t="s">
        <v>382</v>
      </c>
      <c r="F9">
        <v>1</v>
      </c>
      <c r="G9" t="s">
        <v>378</v>
      </c>
      <c r="H9" t="s">
        <v>310</v>
      </c>
      <c r="I9">
        <v>6080</v>
      </c>
      <c r="J9" t="s">
        <v>379</v>
      </c>
    </row>
    <row r="10" spans="1:5" ht="12.75">
      <c r="A10">
        <v>1</v>
      </c>
      <c r="B10" t="s">
        <v>378</v>
      </c>
      <c r="C10" t="s">
        <v>310</v>
      </c>
      <c r="D10">
        <f>D9*km_m</f>
        <v>1.853184</v>
      </c>
      <c r="E10" t="s">
        <v>383</v>
      </c>
    </row>
    <row r="11" spans="1:10" ht="12.75">
      <c r="A11">
        <v>1</v>
      </c>
      <c r="B11" t="s">
        <v>378</v>
      </c>
      <c r="C11" t="s">
        <v>310</v>
      </c>
      <c r="D11">
        <f>D9/sec_hr</f>
        <v>0.5147733333333333</v>
      </c>
      <c r="E11" t="s">
        <v>384</v>
      </c>
      <c r="F11">
        <v>1</v>
      </c>
      <c r="G11" t="s">
        <v>385</v>
      </c>
      <c r="H11" t="s">
        <v>310</v>
      </c>
      <c r="I11">
        <v>60</v>
      </c>
      <c r="J11" t="s">
        <v>386</v>
      </c>
    </row>
    <row r="12" spans="1:10" ht="12.75">
      <c r="A12">
        <v>1</v>
      </c>
      <c r="B12" t="s">
        <v>378</v>
      </c>
      <c r="C12" t="s">
        <v>310</v>
      </c>
      <c r="D12">
        <f>D8/min_hr</f>
        <v>101.33333333333333</v>
      </c>
      <c r="E12" t="s">
        <v>377</v>
      </c>
      <c r="F12">
        <v>1</v>
      </c>
      <c r="G12" t="s">
        <v>385</v>
      </c>
      <c r="H12" t="s">
        <v>310</v>
      </c>
      <c r="I12">
        <v>3600</v>
      </c>
      <c r="J12" t="s">
        <v>387</v>
      </c>
    </row>
    <row r="13" spans="1:5" ht="12.75">
      <c r="A13">
        <v>1</v>
      </c>
      <c r="B13" t="s">
        <v>378</v>
      </c>
      <c r="C13" t="s">
        <v>310</v>
      </c>
      <c r="D13">
        <f>D12/100</f>
        <v>1.0133333333333332</v>
      </c>
      <c r="E13" t="s">
        <v>381</v>
      </c>
    </row>
    <row r="14" spans="1:5" ht="12.75">
      <c r="A14">
        <v>1</v>
      </c>
      <c r="B14" t="s">
        <v>378</v>
      </c>
      <c r="C14" t="s">
        <v>310</v>
      </c>
      <c r="D14">
        <f>fph_knot/ft_mile</f>
        <v>1.1515151515151516</v>
      </c>
      <c r="E14" t="s">
        <v>388</v>
      </c>
    </row>
    <row r="16" spans="1:11" ht="12.75">
      <c r="A16">
        <v>1</v>
      </c>
      <c r="B16" t="s">
        <v>383</v>
      </c>
      <c r="C16" t="s">
        <v>310</v>
      </c>
      <c r="D16">
        <f>A16/D10</f>
        <v>0.5396118248376848</v>
      </c>
      <c r="E16" t="s">
        <v>378</v>
      </c>
      <c r="I16" t="s">
        <v>384</v>
      </c>
      <c r="J16" t="s">
        <v>74</v>
      </c>
      <c r="K16" t="s">
        <v>369</v>
      </c>
    </row>
    <row r="17" spans="1:11" ht="12.75">
      <c r="A17">
        <v>1</v>
      </c>
      <c r="B17" t="s">
        <v>384</v>
      </c>
      <c r="C17" t="s">
        <v>310</v>
      </c>
      <c r="D17">
        <f>A17/D11</f>
        <v>1.9426025694156652</v>
      </c>
      <c r="E17" t="s">
        <v>378</v>
      </c>
      <c r="I17" t="s">
        <v>382</v>
      </c>
      <c r="J17" t="s">
        <v>372</v>
      </c>
      <c r="K17" t="s">
        <v>389</v>
      </c>
    </row>
    <row r="18" spans="1:11" ht="12.75">
      <c r="A18">
        <v>1</v>
      </c>
      <c r="B18" t="s">
        <v>377</v>
      </c>
      <c r="C18" t="s">
        <v>310</v>
      </c>
      <c r="D18">
        <f>A18/D12</f>
        <v>0.00986842105263158</v>
      </c>
      <c r="E18" t="s">
        <v>378</v>
      </c>
      <c r="I18" t="s">
        <v>383</v>
      </c>
      <c r="J18" t="s">
        <v>375</v>
      </c>
      <c r="K18" t="s">
        <v>390</v>
      </c>
    </row>
    <row r="19" spans="1:5" ht="12.75">
      <c r="A19">
        <v>1</v>
      </c>
      <c r="B19" t="s">
        <v>381</v>
      </c>
      <c r="C19" t="s">
        <v>310</v>
      </c>
      <c r="D19">
        <f>A19/D13</f>
        <v>0.9868421052631581</v>
      </c>
      <c r="E19" t="s">
        <v>378</v>
      </c>
    </row>
    <row r="20" spans="9:11" ht="12.75">
      <c r="I20" t="s">
        <v>391</v>
      </c>
      <c r="J20" t="s">
        <v>377</v>
      </c>
      <c r="K20" t="s">
        <v>376</v>
      </c>
    </row>
    <row r="21" spans="1:11" ht="12.75">
      <c r="A21">
        <v>1</v>
      </c>
      <c r="B21" t="s">
        <v>352</v>
      </c>
      <c r="C21" t="s">
        <v>310</v>
      </c>
      <c r="D21">
        <f>D6/km_m</f>
        <v>3280.839895013123</v>
      </c>
      <c r="E21" t="s">
        <v>345</v>
      </c>
      <c r="J21" t="s">
        <v>381</v>
      </c>
      <c r="K21" t="s">
        <v>380</v>
      </c>
    </row>
    <row r="22" spans="9:11" ht="12.75">
      <c r="I22" t="s">
        <v>378</v>
      </c>
      <c r="J22" t="s">
        <v>378</v>
      </c>
      <c r="K22" t="s">
        <v>392</v>
      </c>
    </row>
    <row r="23" spans="1:11" ht="12.75">
      <c r="A23">
        <v>1</v>
      </c>
      <c r="B23" t="s">
        <v>393</v>
      </c>
      <c r="C23" t="s">
        <v>310</v>
      </c>
      <c r="D23">
        <v>5280</v>
      </c>
      <c r="E23" t="s">
        <v>345</v>
      </c>
      <c r="I23" t="s">
        <v>394</v>
      </c>
      <c r="J23" t="s">
        <v>388</v>
      </c>
      <c r="K23" t="s">
        <v>371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RAYLENE PASCOE</dc:creator>
  <cp:keywords/>
  <dc:description/>
  <cp:lastModifiedBy>rafacfl</cp:lastModifiedBy>
  <dcterms:created xsi:type="dcterms:W3CDTF">1997-08-10T14:56:57Z</dcterms:created>
  <dcterms:modified xsi:type="dcterms:W3CDTF">2005-09-20T19:23:21Z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-762699817</vt:i4>
  </property>
  <property fmtid="{D5CDD505-2E9C-101B-9397-08002B2CF9AE}" pid="4" name="_EmailSubje">
    <vt:lpwstr>[Planador Brasil] Polar do Blanik</vt:lpwstr>
  </property>
  <property fmtid="{D5CDD505-2E9C-101B-9397-08002B2CF9AE}" pid="5" name="_AuthorEma">
    <vt:lpwstr>rafael.leite@lideraviacao.com.br</vt:lpwstr>
  </property>
  <property fmtid="{D5CDD505-2E9C-101B-9397-08002B2CF9AE}" pid="6" name="_AuthorEmailDisplayNa">
    <vt:lpwstr>Rafael de Carvalho Ferreira Leite</vt:lpwstr>
  </property>
</Properties>
</file>